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5.xml" ContentType="application/vnd.openxmlformats-officedocument.drawing+xml"/>
  <Override PartName="/xl/ctrlProps/ctrlProp38.xml" ContentType="application/vnd.ms-excel.controlproperties+xml"/>
  <Override PartName="/xl/drawings/drawing6.xml" ContentType="application/vnd.openxmlformats-officedocument.drawing+xml"/>
  <Override PartName="/xl/ctrlProps/ctrlProp39.xml" ContentType="application/vnd.ms-excel.controlproperties+xml"/>
  <Override PartName="/xl/drawings/drawing7.xml" ContentType="application/vnd.openxmlformats-officedocument.drawing+xml"/>
  <Override PartName="/xl/ctrlProps/ctrlProp40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240" yWindow="75" windowWidth="20055" windowHeight="7935" tabRatio="664"/>
  </bookViews>
  <sheets>
    <sheet name="KASUS1" sheetId="14" r:id="rId1"/>
    <sheet name="KASUS2" sheetId="6" r:id="rId2"/>
    <sheet name="KASUS3" sheetId="7" r:id="rId3"/>
    <sheet name="KASUS4" sheetId="21" r:id="rId4"/>
    <sheet name="KASUS5" sheetId="18" r:id="rId5"/>
    <sheet name="KASUS6" sheetId="19" r:id="rId6"/>
    <sheet name="KASUS7" sheetId="20" r:id="rId7"/>
  </sheets>
  <externalReferences>
    <externalReference r:id="rId8"/>
  </externalReferences>
  <definedNames>
    <definedName name="__IntlFixup" hidden="1">TRUE</definedName>
    <definedName name="AccessDatabase" hidden="1">"C:\My Documents\MAUI MALL1.mdb"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hidden="1">[1]MASTER!#REF!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hidden="1">#REF!</definedName>
    <definedName name="anscount" hidden="1">4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hidden="1">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hidden="1">#REF!</definedName>
    <definedName name="sencount" hidden="1">3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hidden="1">[1]MASTER!#REF!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hidden="1">#REF!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F12" i="18" l="1"/>
  <c r="F13" i="18"/>
  <c r="F14" i="18"/>
  <c r="F15" i="18"/>
  <c r="F16" i="18"/>
  <c r="G13" i="18" l="1"/>
  <c r="K13" i="18" s="1"/>
  <c r="I13" i="18"/>
  <c r="H13" i="18"/>
  <c r="L13" i="18"/>
  <c r="F12" i="21"/>
  <c r="F13" i="21"/>
  <c r="F14" i="21"/>
  <c r="F15" i="21"/>
  <c r="F16" i="21"/>
  <c r="F21" i="21"/>
  <c r="F20" i="21"/>
  <c r="F19" i="21"/>
  <c r="F18" i="21"/>
  <c r="F17" i="21"/>
  <c r="F11" i="21"/>
  <c r="F10" i="21"/>
  <c r="F9" i="21"/>
  <c r="F8" i="21"/>
  <c r="F7" i="21"/>
  <c r="E3" i="21"/>
  <c r="E22" i="21"/>
  <c r="F4" i="21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E3" i="20"/>
  <c r="H10" i="20" s="1"/>
  <c r="D21" i="20"/>
  <c r="G20" i="19"/>
  <c r="G19" i="19"/>
  <c r="G18" i="19"/>
  <c r="G17" i="19"/>
  <c r="G16" i="19"/>
  <c r="G15" i="19"/>
  <c r="G14" i="19"/>
  <c r="G13" i="19"/>
  <c r="H13" i="19" s="1"/>
  <c r="G12" i="19"/>
  <c r="G11" i="19"/>
  <c r="G10" i="19"/>
  <c r="G9" i="19"/>
  <c r="G8" i="19"/>
  <c r="G7" i="19"/>
  <c r="G6" i="19"/>
  <c r="E21" i="19"/>
  <c r="E3" i="19"/>
  <c r="H20" i="19" s="1"/>
  <c r="M20" i="19" s="1"/>
  <c r="E3" i="18"/>
  <c r="F21" i="18"/>
  <c r="F20" i="18"/>
  <c r="F19" i="18"/>
  <c r="F18" i="18"/>
  <c r="F17" i="18"/>
  <c r="F11" i="18"/>
  <c r="F10" i="18"/>
  <c r="F9" i="18"/>
  <c r="F8" i="18"/>
  <c r="F7" i="18"/>
  <c r="E22" i="18"/>
  <c r="G14" i="18" l="1"/>
  <c r="G12" i="18"/>
  <c r="G16" i="18"/>
  <c r="J13" i="18"/>
  <c r="G15" i="18"/>
  <c r="G8" i="21"/>
  <c r="G10" i="21"/>
  <c r="J10" i="21" s="1"/>
  <c r="G17" i="21"/>
  <c r="G19" i="21"/>
  <c r="J19" i="21" s="1"/>
  <c r="G21" i="21"/>
  <c r="G15" i="21"/>
  <c r="K15" i="21" s="1"/>
  <c r="G13" i="21"/>
  <c r="G7" i="21"/>
  <c r="G9" i="21"/>
  <c r="G11" i="21"/>
  <c r="J11" i="21" s="1"/>
  <c r="G18" i="21"/>
  <c r="G20" i="21"/>
  <c r="J20" i="21" s="1"/>
  <c r="G16" i="21"/>
  <c r="H16" i="21" s="1"/>
  <c r="G14" i="21"/>
  <c r="H14" i="21" s="1"/>
  <c r="G12" i="21"/>
  <c r="K16" i="21"/>
  <c r="H12" i="21"/>
  <c r="I12" i="21"/>
  <c r="K12" i="21"/>
  <c r="I16" i="21"/>
  <c r="I15" i="21"/>
  <c r="L15" i="21"/>
  <c r="I13" i="21"/>
  <c r="K13" i="21"/>
  <c r="H13" i="21"/>
  <c r="J13" i="21"/>
  <c r="L13" i="21"/>
  <c r="L16" i="21"/>
  <c r="J16" i="21"/>
  <c r="L14" i="21"/>
  <c r="L12" i="21"/>
  <c r="J12" i="21"/>
  <c r="K7" i="21"/>
  <c r="L9" i="21"/>
  <c r="J9" i="21"/>
  <c r="K9" i="21"/>
  <c r="I9" i="21"/>
  <c r="H9" i="21"/>
  <c r="K11" i="21"/>
  <c r="L18" i="21"/>
  <c r="J18" i="21"/>
  <c r="K18" i="21"/>
  <c r="I18" i="21"/>
  <c r="H18" i="21"/>
  <c r="K20" i="21"/>
  <c r="L8" i="21"/>
  <c r="J8" i="21"/>
  <c r="H8" i="21"/>
  <c r="K8" i="21"/>
  <c r="I8" i="21"/>
  <c r="H10" i="21"/>
  <c r="L17" i="21"/>
  <c r="J17" i="21"/>
  <c r="H17" i="21"/>
  <c r="K17" i="21"/>
  <c r="I17" i="21"/>
  <c r="H19" i="21"/>
  <c r="L21" i="21"/>
  <c r="J21" i="21"/>
  <c r="H21" i="21"/>
  <c r="K21" i="21"/>
  <c r="I21" i="21"/>
  <c r="J10" i="20"/>
  <c r="L10" i="20"/>
  <c r="I10" i="20"/>
  <c r="K10" i="20"/>
  <c r="M10" i="20"/>
  <c r="H7" i="20"/>
  <c r="L7" i="20" s="1"/>
  <c r="H9" i="20"/>
  <c r="L9" i="20" s="1"/>
  <c r="H20" i="20"/>
  <c r="L20" i="20" s="1"/>
  <c r="H17" i="20"/>
  <c r="L17" i="20" s="1"/>
  <c r="H19" i="20"/>
  <c r="L19" i="20" s="1"/>
  <c r="H6" i="20"/>
  <c r="M6" i="20" s="1"/>
  <c r="H8" i="20"/>
  <c r="L8" i="20" s="1"/>
  <c r="H18" i="20"/>
  <c r="L18" i="20" s="1"/>
  <c r="H16" i="20"/>
  <c r="H15" i="20"/>
  <c r="H14" i="20"/>
  <c r="H13" i="20"/>
  <c r="H12" i="20"/>
  <c r="H11" i="20"/>
  <c r="J6" i="20"/>
  <c r="L6" i="20"/>
  <c r="K7" i="20"/>
  <c r="K9" i="20"/>
  <c r="K17" i="20"/>
  <c r="K18" i="20"/>
  <c r="K20" i="20"/>
  <c r="I6" i="20"/>
  <c r="K6" i="20"/>
  <c r="I9" i="20"/>
  <c r="M9" i="20"/>
  <c r="I17" i="20"/>
  <c r="M17" i="20"/>
  <c r="I18" i="20"/>
  <c r="M18" i="20"/>
  <c r="J9" i="20"/>
  <c r="J17" i="20"/>
  <c r="J18" i="20"/>
  <c r="J13" i="19"/>
  <c r="L13" i="19"/>
  <c r="I13" i="19"/>
  <c r="K13" i="19"/>
  <c r="M13" i="19"/>
  <c r="H7" i="19"/>
  <c r="M7" i="19" s="1"/>
  <c r="H9" i="19"/>
  <c r="M9" i="19" s="1"/>
  <c r="H12" i="19"/>
  <c r="L12" i="19" s="1"/>
  <c r="H19" i="19"/>
  <c r="L19" i="19" s="1"/>
  <c r="H11" i="19"/>
  <c r="M11" i="19" s="1"/>
  <c r="H15" i="19"/>
  <c r="H17" i="19"/>
  <c r="H6" i="19"/>
  <c r="J6" i="19" s="1"/>
  <c r="H8" i="19"/>
  <c r="L8" i="19" s="1"/>
  <c r="H10" i="19"/>
  <c r="L10" i="19" s="1"/>
  <c r="H18" i="19"/>
  <c r="M18" i="19" s="1"/>
  <c r="H14" i="19"/>
  <c r="H16" i="19"/>
  <c r="J14" i="19"/>
  <c r="L14" i="19"/>
  <c r="I14" i="19"/>
  <c r="K14" i="19"/>
  <c r="M14" i="19"/>
  <c r="J15" i="19"/>
  <c r="L15" i="19"/>
  <c r="I15" i="19"/>
  <c r="K15" i="19"/>
  <c r="M15" i="19"/>
  <c r="J17" i="19"/>
  <c r="L17" i="19"/>
  <c r="I17" i="19"/>
  <c r="K17" i="19"/>
  <c r="M17" i="19"/>
  <c r="J16" i="19"/>
  <c r="L16" i="19"/>
  <c r="I16" i="19"/>
  <c r="K16" i="19"/>
  <c r="M16" i="19"/>
  <c r="J7" i="19"/>
  <c r="L7" i="19"/>
  <c r="K8" i="19"/>
  <c r="J9" i="19"/>
  <c r="L9" i="19"/>
  <c r="K10" i="19"/>
  <c r="J11" i="19"/>
  <c r="L11" i="19"/>
  <c r="K12" i="19"/>
  <c r="J18" i="19"/>
  <c r="L18" i="19"/>
  <c r="K19" i="19"/>
  <c r="J20" i="19"/>
  <c r="L20" i="19"/>
  <c r="I7" i="19"/>
  <c r="K7" i="19"/>
  <c r="I8" i="19"/>
  <c r="M8" i="19"/>
  <c r="I9" i="19"/>
  <c r="K9" i="19"/>
  <c r="I10" i="19"/>
  <c r="M10" i="19"/>
  <c r="I11" i="19"/>
  <c r="K11" i="19"/>
  <c r="I12" i="19"/>
  <c r="M12" i="19"/>
  <c r="I18" i="19"/>
  <c r="K18" i="19"/>
  <c r="I19" i="19"/>
  <c r="M19" i="19"/>
  <c r="I20" i="19"/>
  <c r="K20" i="19"/>
  <c r="K6" i="19"/>
  <c r="J8" i="19"/>
  <c r="J10" i="19"/>
  <c r="J12" i="19"/>
  <c r="J19" i="19"/>
  <c r="G21" i="18"/>
  <c r="L21" i="18" s="1"/>
  <c r="G9" i="18"/>
  <c r="L9" i="18" s="1"/>
  <c r="G18" i="18"/>
  <c r="K18" i="18" s="1"/>
  <c r="G7" i="18"/>
  <c r="I7" i="18" s="1"/>
  <c r="G11" i="18"/>
  <c r="L11" i="18" s="1"/>
  <c r="G20" i="18"/>
  <c r="J20" i="18" s="1"/>
  <c r="I21" i="18"/>
  <c r="K21" i="18"/>
  <c r="G8" i="18"/>
  <c r="J8" i="18" s="1"/>
  <c r="G10" i="18"/>
  <c r="I10" i="18" s="1"/>
  <c r="G17" i="18"/>
  <c r="H17" i="18" s="1"/>
  <c r="G19" i="18"/>
  <c r="H21" i="18"/>
  <c r="H12" i="18" l="1"/>
  <c r="I12" i="18"/>
  <c r="K12" i="18"/>
  <c r="L12" i="18"/>
  <c r="J12" i="18"/>
  <c r="I15" i="18"/>
  <c r="H15" i="18"/>
  <c r="L15" i="18"/>
  <c r="K15" i="18"/>
  <c r="J15" i="18"/>
  <c r="H16" i="18"/>
  <c r="I16" i="18"/>
  <c r="K16" i="18"/>
  <c r="L16" i="18"/>
  <c r="J16" i="18"/>
  <c r="H14" i="18"/>
  <c r="K14" i="18"/>
  <c r="I14" i="18"/>
  <c r="L14" i="18"/>
  <c r="J14" i="18"/>
  <c r="I19" i="21"/>
  <c r="L19" i="21"/>
  <c r="I10" i="21"/>
  <c r="L10" i="21"/>
  <c r="H20" i="21"/>
  <c r="L20" i="21"/>
  <c r="H11" i="21"/>
  <c r="L11" i="21"/>
  <c r="H7" i="21"/>
  <c r="L7" i="21"/>
  <c r="L22" i="21" s="1"/>
  <c r="L24" i="21" s="1"/>
  <c r="H15" i="21"/>
  <c r="K14" i="21"/>
  <c r="K19" i="21"/>
  <c r="K10" i="21"/>
  <c r="K22" i="21" s="1"/>
  <c r="K24" i="21" s="1"/>
  <c r="I20" i="21"/>
  <c r="I11" i="21"/>
  <c r="I7" i="21"/>
  <c r="J14" i="21"/>
  <c r="J15" i="21"/>
  <c r="I14" i="21"/>
  <c r="J21" i="18"/>
  <c r="I22" i="21"/>
  <c r="I24" i="21" s="1"/>
  <c r="H22" i="21"/>
  <c r="H24" i="21" s="1"/>
  <c r="J22" i="21"/>
  <c r="J24" i="21" s="1"/>
  <c r="M20" i="20"/>
  <c r="M8" i="20"/>
  <c r="J20" i="20"/>
  <c r="J7" i="20"/>
  <c r="M19" i="20"/>
  <c r="M7" i="20"/>
  <c r="J12" i="20"/>
  <c r="L12" i="20"/>
  <c r="I12" i="20"/>
  <c r="K12" i="20"/>
  <c r="M12" i="20"/>
  <c r="J14" i="20"/>
  <c r="L14" i="20"/>
  <c r="I14" i="20"/>
  <c r="K14" i="20"/>
  <c r="M14" i="20"/>
  <c r="J16" i="20"/>
  <c r="L16" i="20"/>
  <c r="I16" i="20"/>
  <c r="K16" i="20"/>
  <c r="M16" i="20"/>
  <c r="J19" i="20"/>
  <c r="J8" i="20"/>
  <c r="I20" i="20"/>
  <c r="I19" i="20"/>
  <c r="I8" i="20"/>
  <c r="I7" i="20"/>
  <c r="K19" i="20"/>
  <c r="K8" i="20"/>
  <c r="J11" i="20"/>
  <c r="L11" i="20"/>
  <c r="I11" i="20"/>
  <c r="K11" i="20"/>
  <c r="M11" i="20"/>
  <c r="J13" i="20"/>
  <c r="L13" i="20"/>
  <c r="I13" i="20"/>
  <c r="K13" i="20"/>
  <c r="M13" i="20"/>
  <c r="J15" i="20"/>
  <c r="L15" i="20"/>
  <c r="I15" i="20"/>
  <c r="K15" i="20"/>
  <c r="M15" i="20"/>
  <c r="L6" i="19"/>
  <c r="M6" i="19"/>
  <c r="I6" i="19"/>
  <c r="K21" i="19"/>
  <c r="K23" i="19" s="1"/>
  <c r="L21" i="19"/>
  <c r="L23" i="19" s="1"/>
  <c r="M21" i="19"/>
  <c r="M23" i="19" s="1"/>
  <c r="I21" i="19"/>
  <c r="I23" i="19" s="1"/>
  <c r="J21" i="19"/>
  <c r="J23" i="19" s="1"/>
  <c r="H20" i="18"/>
  <c r="I20" i="18"/>
  <c r="J9" i="18"/>
  <c r="I9" i="18"/>
  <c r="J18" i="18"/>
  <c r="J17" i="18"/>
  <c r="H9" i="18"/>
  <c r="H8" i="18"/>
  <c r="K9" i="18"/>
  <c r="J11" i="18"/>
  <c r="L18" i="18"/>
  <c r="I18" i="18"/>
  <c r="H18" i="18"/>
  <c r="H11" i="18"/>
  <c r="K11" i="18"/>
  <c r="I11" i="18"/>
  <c r="L20" i="18"/>
  <c r="K20" i="18"/>
  <c r="K7" i="18"/>
  <c r="J7" i="18"/>
  <c r="L7" i="18"/>
  <c r="H7" i="18"/>
  <c r="K19" i="18"/>
  <c r="L19" i="18"/>
  <c r="H19" i="18"/>
  <c r="J19" i="18"/>
  <c r="K10" i="18"/>
  <c r="J10" i="18"/>
  <c r="L10" i="18"/>
  <c r="H10" i="18"/>
  <c r="I19" i="18"/>
  <c r="K17" i="18"/>
  <c r="L17" i="18"/>
  <c r="I17" i="18"/>
  <c r="I8" i="18"/>
  <c r="L8" i="18"/>
  <c r="K8" i="18"/>
  <c r="E24" i="21" l="1"/>
  <c r="J21" i="20"/>
  <c r="E29" i="20" s="1"/>
  <c r="F29" i="20" s="1"/>
  <c r="M21" i="20"/>
  <c r="E32" i="20" s="1"/>
  <c r="F32" i="20" s="1"/>
  <c r="L21" i="20"/>
  <c r="E31" i="20" s="1"/>
  <c r="F31" i="20" s="1"/>
  <c r="K21" i="20"/>
  <c r="E30" i="20" s="1"/>
  <c r="F30" i="20" s="1"/>
  <c r="I21" i="20"/>
  <c r="E28" i="20" s="1"/>
  <c r="F28" i="20" s="1"/>
  <c r="E23" i="19"/>
  <c r="J22" i="18"/>
  <c r="J24" i="18" s="1"/>
  <c r="I22" i="18"/>
  <c r="I24" i="18" s="1"/>
  <c r="L22" i="18"/>
  <c r="L24" i="18" s="1"/>
  <c r="H22" i="18"/>
  <c r="H24" i="18" s="1"/>
  <c r="K22" i="18"/>
  <c r="K24" i="18" s="1"/>
  <c r="E33" i="20" l="1"/>
  <c r="F33" i="20"/>
  <c r="E24" i="18"/>
  <c r="C11" i="14" l="1"/>
  <c r="C10" i="14"/>
  <c r="B13" i="14"/>
  <c r="C12" i="14"/>
  <c r="C13" i="14" s="1"/>
  <c r="B12" i="14"/>
  <c r="B11" i="14"/>
  <c r="B8" i="14"/>
  <c r="B6" i="14" l="1"/>
  <c r="D3" i="14"/>
  <c r="C4" i="14"/>
  <c r="E4" i="7" l="1"/>
  <c r="H9" i="7" s="1"/>
  <c r="F22" i="7"/>
  <c r="G21" i="7"/>
  <c r="G20" i="7"/>
  <c r="G19" i="7"/>
  <c r="G18" i="7"/>
  <c r="G17" i="7"/>
  <c r="G16" i="7"/>
  <c r="G15" i="7"/>
  <c r="G14" i="7"/>
  <c r="G13" i="7"/>
  <c r="G12" i="7"/>
  <c r="G11" i="7"/>
  <c r="G10" i="7"/>
  <c r="L9" i="7"/>
  <c r="G9" i="7"/>
  <c r="L8" i="7"/>
  <c r="G8" i="7"/>
  <c r="L7" i="7"/>
  <c r="G7" i="7"/>
  <c r="L6" i="7"/>
  <c r="L10" i="7" s="1"/>
  <c r="K6" i="6"/>
  <c r="K7" i="6"/>
  <c r="K8" i="6"/>
  <c r="K5" i="6"/>
  <c r="F21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6" i="6"/>
  <c r="H20" i="7" l="1"/>
  <c r="H16" i="7"/>
  <c r="H12" i="7"/>
  <c r="H8" i="7"/>
  <c r="H7" i="7"/>
  <c r="H18" i="7"/>
  <c r="H14" i="7"/>
  <c r="H10" i="7"/>
  <c r="H21" i="7"/>
  <c r="H19" i="7"/>
  <c r="H17" i="7"/>
  <c r="H15" i="7"/>
  <c r="H13" i="7"/>
  <c r="H11" i="7"/>
  <c r="K9" i="6"/>
</calcChain>
</file>

<file path=xl/sharedStrings.xml><?xml version="1.0" encoding="utf-8"?>
<sst xmlns="http://schemas.openxmlformats.org/spreadsheetml/2006/main" count="271" uniqueCount="72">
  <si>
    <t>No.</t>
  </si>
  <si>
    <t>Keterangan</t>
  </si>
  <si>
    <t>Jumlah</t>
  </si>
  <si>
    <t>Utang</t>
  </si>
  <si>
    <t>Pemasok</t>
  </si>
  <si>
    <t>Rumah Plus</t>
  </si>
  <si>
    <t>JADWAL PEMBAYARAN UTANG</t>
  </si>
  <si>
    <t>Tanggal  Transaksi</t>
  </si>
  <si>
    <t>Batas Pembayaran</t>
  </si>
  <si>
    <t>Jatuh Tempo</t>
  </si>
  <si>
    <t>Lunas</t>
  </si>
  <si>
    <t>PT. ABC</t>
  </si>
  <si>
    <t>Ibu Ivana</t>
  </si>
  <si>
    <t>Pak Heru</t>
  </si>
  <si>
    <t>USAHAKU</t>
  </si>
  <si>
    <t>Tanggal saat ini</t>
  </si>
  <si>
    <t>Waktu s.d. Jatuh Tempo</t>
  </si>
  <si>
    <t>ANALISIS UMUR PIUTANG</t>
  </si>
  <si>
    <t>1 -30</t>
  </si>
  <si>
    <t>31 - 60</t>
  </si>
  <si>
    <t>61 - 90</t>
  </si>
  <si>
    <t>&gt; 90</t>
  </si>
  <si>
    <t xml:space="preserve"> </t>
  </si>
  <si>
    <t>Tanggal Perhitungan Piutang</t>
  </si>
  <si>
    <t>Syarat Pembayaran</t>
  </si>
  <si>
    <t>Nama Debitur</t>
  </si>
  <si>
    <t>(pelanggan)</t>
  </si>
  <si>
    <t>Saldo Piutang</t>
  </si>
  <si>
    <t>Tanggal Transaksi</t>
  </si>
  <si>
    <t>Belum</t>
  </si>
  <si>
    <t>Jumlah hari menunggak</t>
  </si>
  <si>
    <t>No</t>
  </si>
  <si>
    <t>Taksiran % tidak tertagih</t>
  </si>
  <si>
    <t>Jumlah Taksiran Tidak Tertagih</t>
  </si>
  <si>
    <t>Jumlah Piutang</t>
  </si>
  <si>
    <t>Pak Agus</t>
  </si>
  <si>
    <t>Ibu Elvira</t>
  </si>
  <si>
    <t>CV Harapan Sejati</t>
  </si>
  <si>
    <t>Pak Helambang</t>
  </si>
  <si>
    <t>Ibu Diandra</t>
  </si>
  <si>
    <t>TB Gunung Mas</t>
  </si>
  <si>
    <t>PT Anugerah</t>
  </si>
  <si>
    <t>CV Matahari</t>
  </si>
  <si>
    <t>PT Delta Mas</t>
  </si>
  <si>
    <t>PT XYZ</t>
  </si>
  <si>
    <t>PENGERTIAN UTANG dan PIUTANG</t>
  </si>
  <si>
    <t>Pilih</t>
  </si>
  <si>
    <t>Yosie Hanto Prayoga</t>
  </si>
  <si>
    <t>Nama saya</t>
  </si>
  <si>
    <t>Jodhi Hermawan</t>
  </si>
  <si>
    <t>Pilih transaksi</t>
  </si>
  <si>
    <t>Lewat Hari</t>
  </si>
  <si>
    <t>Taksiran % Tidak Tertagih</t>
  </si>
  <si>
    <t>Cadangan Kerugian Piutang</t>
  </si>
  <si>
    <t>Terlambat 1-30 hari</t>
  </si>
  <si>
    <t>Terlambat 31-60 hari</t>
  </si>
  <si>
    <t>Terlambat 61-90 hari</t>
  </si>
  <si>
    <t>Terlambat &gt;90 hari</t>
  </si>
  <si>
    <t>% Kerugian</t>
  </si>
  <si>
    <t>Cad Kerugian</t>
  </si>
  <si>
    <t>Belum Jatuh Tempo</t>
  </si>
  <si>
    <t>Piutang</t>
  </si>
  <si>
    <t>EOM</t>
  </si>
  <si>
    <t>Pilihan syarat pembayaran</t>
  </si>
  <si>
    <t>n/30</t>
  </si>
  <si>
    <t>PT DEF</t>
  </si>
  <si>
    <t>PT HIJ</t>
  </si>
  <si>
    <t>CV XYZ</t>
  </si>
  <si>
    <t>PT XXX</t>
  </si>
  <si>
    <t>PT YYY</t>
  </si>
  <si>
    <t>Tanggal Jatuh Tempo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</si>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</sst>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General\ &quot;hari &quot;"/>
    <numFmt numFmtId="165" formatCode="General\ &quot;hari lagi &quot;"/>
    <numFmt numFmtId="166" formatCode="_(* #,##0_);_(* \(#,##0\);_(* &quot;-&quot;??_);_(@_)"/>
    <numFmt numFmtId="167" formatCode="&quot;n/&quot;#"/>
    <numFmt numFmtId="168" formatCode="[$-F800]dddd\,\ mmmm\ dd\,\ yyyy"/>
  </numFmts>
  <fonts count="13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23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/>
      <top style="thin">
        <color theme="0"/>
      </top>
      <bottom style="thin">
        <color indexed="9"/>
      </bottom>
      <diagonal/>
    </border>
    <border>
      <left/>
      <right/>
      <top style="thin">
        <color theme="0"/>
      </top>
      <bottom style="thin">
        <color indexed="9"/>
      </bottom>
      <diagonal/>
    </border>
  </borders>
  <cellStyleXfs count="5">
    <xf numFmtId="0" fontId="0" fillId="0" borderId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0" fillId="0" borderId="7" xfId="0" applyBorder="1" applyAlignment="1">
      <alignment horizontal="right" vertical="center" indent="1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164" fontId="0" fillId="0" borderId="7" xfId="0" applyNumberFormat="1" applyBorder="1" applyAlignment="1">
      <alignment horizontal="right" vertical="center" indent="1"/>
    </xf>
    <xf numFmtId="37" fontId="0" fillId="0" borderId="7" xfId="0" applyNumberFormat="1" applyBorder="1" applyAlignment="1">
      <alignment vertical="center"/>
    </xf>
    <xf numFmtId="0" fontId="2" fillId="0" borderId="7" xfId="0" applyFont="1" applyBorder="1" applyAlignment="1">
      <alignment vertical="center"/>
    </xf>
    <xf numFmtId="37" fontId="1" fillId="2" borderId="0" xfId="0" applyNumberFormat="1" applyFont="1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right" vertical="center"/>
    </xf>
    <xf numFmtId="0" fontId="3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7" fontId="0" fillId="6" borderId="8" xfId="0" applyNumberFormat="1" applyFill="1" applyBorder="1" applyAlignment="1">
      <alignment vertical="center"/>
    </xf>
    <xf numFmtId="37" fontId="0" fillId="6" borderId="10" xfId="0" applyNumberFormat="1" applyFill="1" applyBorder="1" applyAlignment="1">
      <alignment vertical="center"/>
    </xf>
    <xf numFmtId="37" fontId="0" fillId="6" borderId="2" xfId="0" applyNumberFormat="1" applyFill="1" applyBorder="1" applyAlignment="1">
      <alignment vertical="center"/>
    </xf>
    <xf numFmtId="0" fontId="0" fillId="7" borderId="9" xfId="0" applyFill="1" applyBorder="1" applyAlignment="1">
      <alignment horizontal="left" vertical="center" indent="1"/>
    </xf>
    <xf numFmtId="0" fontId="0" fillId="7" borderId="0" xfId="0" applyFill="1" applyBorder="1" applyAlignment="1">
      <alignment horizontal="left" vertical="center" indent="1"/>
    </xf>
    <xf numFmtId="0" fontId="0" fillId="7" borderId="4" xfId="0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37" fontId="1" fillId="8" borderId="8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" fontId="0" fillId="0" borderId="0" xfId="0" applyNumberFormat="1" applyAlignment="1">
      <alignment vertical="center"/>
    </xf>
    <xf numFmtId="14" fontId="0" fillId="6" borderId="2" xfId="0" applyNumberFormat="1" applyFill="1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 indent="1"/>
    </xf>
    <xf numFmtId="0" fontId="0" fillId="6" borderId="0" xfId="0" applyFill="1" applyAlignment="1">
      <alignment horizontal="right" vertical="center" indent="1"/>
    </xf>
    <xf numFmtId="0" fontId="2" fillId="0" borderId="0" xfId="0" applyFont="1" applyAlignment="1">
      <alignment vertical="center"/>
    </xf>
    <xf numFmtId="0" fontId="9" fillId="0" borderId="0" xfId="1" applyFont="1" applyFill="1" applyBorder="1" applyAlignment="1">
      <alignment horizontal="centerContinuous" vertical="center"/>
    </xf>
    <xf numFmtId="0" fontId="8" fillId="0" borderId="0" xfId="1" applyFont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0" xfId="1" applyFont="1" applyFill="1" applyBorder="1" applyAlignment="1">
      <alignment horizontal="left" vertical="center" indent="1"/>
    </xf>
    <xf numFmtId="0" fontId="8" fillId="3" borderId="0" xfId="1" applyFont="1" applyFill="1" applyBorder="1" applyAlignment="1">
      <alignment vertical="center"/>
    </xf>
    <xf numFmtId="0" fontId="1" fillId="3" borderId="0" xfId="1" applyFont="1" applyFill="1" applyBorder="1" applyAlignment="1">
      <alignment vertical="center"/>
    </xf>
    <xf numFmtId="166" fontId="8" fillId="6" borderId="0" xfId="2" applyNumberFormat="1" applyFont="1" applyFill="1" applyBorder="1" applyAlignment="1">
      <alignment vertical="center"/>
    </xf>
    <xf numFmtId="0" fontId="8" fillId="7" borderId="0" xfId="1" applyFont="1" applyFill="1" applyBorder="1" applyAlignment="1">
      <alignment horizontal="right" vertical="center" indent="1"/>
    </xf>
    <xf numFmtId="0" fontId="8" fillId="7" borderId="0" xfId="1" applyFont="1" applyFill="1" applyBorder="1" applyAlignment="1">
      <alignment vertical="center"/>
    </xf>
    <xf numFmtId="166" fontId="8" fillId="7" borderId="0" xfId="2" applyNumberFormat="1" applyFont="1" applyFill="1" applyBorder="1" applyAlignment="1">
      <alignment vertical="center"/>
    </xf>
    <xf numFmtId="0" fontId="1" fillId="2" borderId="14" xfId="1" applyFont="1" applyFill="1" applyBorder="1" applyAlignment="1">
      <alignment horizontal="left" vertical="center" indent="1"/>
    </xf>
    <xf numFmtId="166" fontId="1" fillId="2" borderId="0" xfId="2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6" borderId="8" xfId="0" applyFill="1" applyBorder="1" applyAlignment="1">
      <alignment horizontal="left" vertical="center" indent="1"/>
    </xf>
    <xf numFmtId="37" fontId="0" fillId="6" borderId="8" xfId="0" applyNumberFormat="1" applyFill="1" applyBorder="1" applyAlignment="1">
      <alignment horizontal="left" vertical="center" indent="1"/>
    </xf>
    <xf numFmtId="37" fontId="0" fillId="11" borderId="8" xfId="0" applyNumberForma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indent="1"/>
    </xf>
    <xf numFmtId="37" fontId="0" fillId="6" borderId="2" xfId="0" applyNumberFormat="1" applyFill="1" applyBorder="1" applyAlignment="1">
      <alignment horizontal="left" vertical="center" indent="1"/>
    </xf>
    <xf numFmtId="0" fontId="8" fillId="7" borderId="9" xfId="1" applyFont="1" applyFill="1" applyBorder="1" applyAlignment="1">
      <alignment horizontal="right" vertical="center" indent="1"/>
    </xf>
    <xf numFmtId="0" fontId="8" fillId="7" borderId="9" xfId="1" applyFont="1" applyFill="1" applyBorder="1" applyAlignment="1">
      <alignment vertical="center"/>
    </xf>
    <xf numFmtId="166" fontId="8" fillId="6" borderId="9" xfId="2" quotePrefix="1" applyNumberFormat="1" applyFont="1" applyFill="1" applyBorder="1" applyAlignment="1">
      <alignment vertical="center"/>
    </xf>
    <xf numFmtId="0" fontId="8" fillId="7" borderId="4" xfId="1" applyFont="1" applyFill="1" applyBorder="1" applyAlignment="1">
      <alignment horizontal="right" vertical="center" indent="1"/>
    </xf>
    <xf numFmtId="0" fontId="8" fillId="7" borderId="4" xfId="1" applyFont="1" applyFill="1" applyBorder="1" applyAlignment="1">
      <alignment vertical="center"/>
    </xf>
    <xf numFmtId="166" fontId="8" fillId="6" borderId="4" xfId="2" applyNumberFormat="1" applyFont="1" applyFill="1" applyBorder="1" applyAlignment="1">
      <alignment vertical="center"/>
    </xf>
    <xf numFmtId="166" fontId="8" fillId="4" borderId="13" xfId="2" applyNumberFormat="1" applyFont="1" applyFill="1" applyBorder="1" applyAlignment="1">
      <alignment vertical="center"/>
    </xf>
    <xf numFmtId="166" fontId="8" fillId="4" borderId="1" xfId="2" applyNumberFormat="1" applyFont="1" applyFill="1" applyBorder="1" applyAlignment="1">
      <alignment vertical="center"/>
    </xf>
    <xf numFmtId="166" fontId="8" fillId="4" borderId="15" xfId="2" applyNumberFormat="1" applyFont="1" applyFill="1" applyBorder="1" applyAlignment="1">
      <alignment vertical="center"/>
    </xf>
    <xf numFmtId="166" fontId="8" fillId="6" borderId="13" xfId="2" applyNumberFormat="1" applyFont="1" applyFill="1" applyBorder="1" applyAlignment="1">
      <alignment vertical="center"/>
    </xf>
    <xf numFmtId="166" fontId="8" fillId="9" borderId="13" xfId="2" applyNumberFormat="1" applyFont="1" applyFill="1" applyBorder="1" applyAlignment="1">
      <alignment vertical="center"/>
    </xf>
    <xf numFmtId="166" fontId="8" fillId="6" borderId="1" xfId="2" applyNumberFormat="1" applyFont="1" applyFill="1" applyBorder="1" applyAlignment="1">
      <alignment vertical="center"/>
    </xf>
    <xf numFmtId="166" fontId="8" fillId="9" borderId="1" xfId="2" applyNumberFormat="1" applyFont="1" applyFill="1" applyBorder="1" applyAlignment="1">
      <alignment vertical="center"/>
    </xf>
    <xf numFmtId="166" fontId="8" fillId="6" borderId="15" xfId="2" applyNumberFormat="1" applyFont="1" applyFill="1" applyBorder="1" applyAlignment="1">
      <alignment vertical="center"/>
    </xf>
    <xf numFmtId="166" fontId="8" fillId="9" borderId="15" xfId="2" applyNumberFormat="1" applyFont="1" applyFill="1" applyBorder="1" applyAlignment="1">
      <alignment vertical="center"/>
    </xf>
    <xf numFmtId="166" fontId="8" fillId="7" borderId="1" xfId="2" applyNumberFormat="1" applyFont="1" applyFill="1" applyBorder="1" applyAlignment="1">
      <alignment vertical="center"/>
    </xf>
    <xf numFmtId="10" fontId="1" fillId="12" borderId="1" xfId="1" applyNumberFormat="1" applyFont="1" applyFill="1" applyBorder="1" applyAlignment="1">
      <alignment horizontal="center" vertical="center"/>
    </xf>
    <xf numFmtId="166" fontId="1" fillId="10" borderId="1" xfId="2" applyNumberFormat="1" applyFont="1" applyFill="1" applyBorder="1" applyAlignment="1">
      <alignment vertical="center"/>
    </xf>
    <xf numFmtId="0" fontId="1" fillId="10" borderId="1" xfId="1" applyFont="1" applyFill="1" applyBorder="1" applyAlignment="1">
      <alignment vertical="center"/>
    </xf>
    <xf numFmtId="166" fontId="8" fillId="0" borderId="0" xfId="1" applyNumberFormat="1" applyFont="1" applyAlignment="1">
      <alignment vertical="center"/>
    </xf>
    <xf numFmtId="10" fontId="1" fillId="12" borderId="0" xfId="1" applyNumberFormat="1" applyFont="1" applyFill="1" applyBorder="1" applyAlignment="1">
      <alignment horizontal="center" vertical="center"/>
    </xf>
    <xf numFmtId="0" fontId="8" fillId="7" borderId="9" xfId="1" applyFont="1" applyFill="1" applyBorder="1" applyAlignment="1">
      <alignment horizontal="left" vertical="center" indent="1"/>
    </xf>
    <xf numFmtId="0" fontId="8" fillId="7" borderId="0" xfId="1" applyFont="1" applyFill="1" applyBorder="1" applyAlignment="1">
      <alignment horizontal="left" vertical="center" indent="1"/>
    </xf>
    <xf numFmtId="0" fontId="8" fillId="7" borderId="4" xfId="1" applyFont="1" applyFill="1" applyBorder="1" applyAlignment="1">
      <alignment horizontal="left" vertical="center" indent="1"/>
    </xf>
    <xf numFmtId="0" fontId="9" fillId="2" borderId="10" xfId="1" applyFont="1" applyFill="1" applyBorder="1" applyAlignment="1">
      <alignment horizontal="left" vertical="center" indent="1"/>
    </xf>
    <xf numFmtId="0" fontId="8" fillId="7" borderId="10" xfId="1" applyFont="1" applyFill="1" applyBorder="1" applyAlignment="1">
      <alignment horizontal="left" vertical="center" indent="1"/>
    </xf>
    <xf numFmtId="0" fontId="8" fillId="7" borderId="8" xfId="1" applyFont="1" applyFill="1" applyBorder="1" applyAlignment="1">
      <alignment horizontal="left" vertical="center" indent="1"/>
    </xf>
    <xf numFmtId="0" fontId="8" fillId="7" borderId="2" xfId="1" applyFont="1" applyFill="1" applyBorder="1" applyAlignment="1">
      <alignment horizontal="left" vertical="center" indent="1"/>
    </xf>
    <xf numFmtId="168" fontId="8" fillId="0" borderId="0" xfId="1" applyNumberFormat="1" applyFont="1" applyFill="1" applyBorder="1" applyAlignment="1">
      <alignment horizontal="left" vertical="center" indent="1"/>
    </xf>
    <xf numFmtId="0" fontId="7" fillId="3" borderId="0" xfId="1" applyFont="1" applyFill="1" applyBorder="1" applyAlignment="1">
      <alignment horizontal="left" vertical="center" indent="1"/>
    </xf>
    <xf numFmtId="167" fontId="8" fillId="6" borderId="8" xfId="1" applyNumberFormat="1" applyFont="1" applyFill="1" applyBorder="1" applyAlignment="1">
      <alignment horizontal="left" vertical="center" indent="1"/>
    </xf>
    <xf numFmtId="0" fontId="10" fillId="0" borderId="0" xfId="1" applyFont="1" applyBorder="1" applyAlignment="1">
      <alignment vertical="center"/>
    </xf>
    <xf numFmtId="0" fontId="9" fillId="2" borderId="16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left" vertical="center" indent="1"/>
    </xf>
    <xf numFmtId="0" fontId="9" fillId="2" borderId="17" xfId="1" applyFont="1" applyFill="1" applyBorder="1" applyAlignment="1">
      <alignment horizontal="center" vertical="center"/>
    </xf>
    <xf numFmtId="16" fontId="9" fillId="2" borderId="17" xfId="1" quotePrefix="1" applyNumberFormat="1" applyFont="1" applyFill="1" applyBorder="1" applyAlignment="1">
      <alignment horizontal="center" vertical="center"/>
    </xf>
    <xf numFmtId="0" fontId="9" fillId="2" borderId="17" xfId="1" quotePrefix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37" fontId="8" fillId="4" borderId="13" xfId="1" applyNumberFormat="1" applyFont="1" applyFill="1" applyBorder="1" applyAlignment="1">
      <alignment horizontal="right" vertical="center" indent="1"/>
    </xf>
    <xf numFmtId="37" fontId="8" fillId="4" borderId="1" xfId="1" applyNumberFormat="1" applyFont="1" applyFill="1" applyBorder="1" applyAlignment="1">
      <alignment horizontal="right" vertical="center" indent="1"/>
    </xf>
    <xf numFmtId="37" fontId="8" fillId="4" borderId="15" xfId="1" applyNumberFormat="1" applyFont="1" applyFill="1" applyBorder="1" applyAlignment="1">
      <alignment horizontal="right" vertical="center" indent="1"/>
    </xf>
    <xf numFmtId="14" fontId="8" fillId="6" borderId="8" xfId="1" applyNumberFormat="1" applyFont="1" applyFill="1" applyBorder="1" applyAlignment="1">
      <alignment horizontal="left" vertical="center" indent="1"/>
    </xf>
    <xf numFmtId="14" fontId="8" fillId="7" borderId="13" xfId="1" applyNumberFormat="1" applyFont="1" applyFill="1" applyBorder="1" applyAlignment="1">
      <alignment horizontal="center" vertical="center"/>
    </xf>
    <xf numFmtId="14" fontId="8" fillId="7" borderId="1" xfId="1" applyNumberFormat="1" applyFont="1" applyFill="1" applyBorder="1" applyAlignment="1">
      <alignment horizontal="center" vertical="center"/>
    </xf>
    <xf numFmtId="14" fontId="8" fillId="7" borderId="15" xfId="1" applyNumberFormat="1" applyFont="1" applyFill="1" applyBorder="1" applyAlignment="1">
      <alignment horizontal="center" vertical="center"/>
    </xf>
    <xf numFmtId="166" fontId="1" fillId="6" borderId="10" xfId="2" applyNumberFormat="1" applyFont="1" applyFill="1" applyBorder="1" applyAlignment="1">
      <alignment vertical="center"/>
    </xf>
    <xf numFmtId="166" fontId="1" fillId="6" borderId="5" xfId="2" applyNumberFormat="1" applyFont="1" applyFill="1" applyBorder="1" applyAlignment="1">
      <alignment vertical="center"/>
    </xf>
    <xf numFmtId="166" fontId="1" fillId="3" borderId="0" xfId="1" applyNumberFormat="1" applyFont="1" applyFill="1" applyAlignment="1">
      <alignment vertical="center"/>
    </xf>
    <xf numFmtId="37" fontId="8" fillId="13" borderId="9" xfId="1" applyNumberFormat="1" applyFont="1" applyFill="1" applyBorder="1" applyAlignment="1">
      <alignment vertical="center"/>
    </xf>
    <xf numFmtId="37" fontId="8" fillId="13" borderId="0" xfId="1" applyNumberFormat="1" applyFont="1" applyFill="1" applyBorder="1" applyAlignment="1">
      <alignment vertical="center"/>
    </xf>
    <xf numFmtId="37" fontId="8" fillId="13" borderId="4" xfId="1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10" fontId="8" fillId="13" borderId="13" xfId="1" applyNumberFormat="1" applyFont="1" applyFill="1" applyBorder="1" applyAlignment="1">
      <alignment horizontal="center" vertical="center"/>
    </xf>
    <xf numFmtId="10" fontId="8" fillId="13" borderId="1" xfId="1" applyNumberFormat="1" applyFont="1" applyFill="1" applyBorder="1" applyAlignment="1">
      <alignment horizontal="center" vertical="center"/>
    </xf>
    <xf numFmtId="10" fontId="8" fillId="13" borderId="15" xfId="1" applyNumberFormat="1" applyFont="1" applyFill="1" applyBorder="1" applyAlignment="1">
      <alignment horizontal="center" vertical="center"/>
    </xf>
    <xf numFmtId="166" fontId="8" fillId="6" borderId="13" xfId="1" applyNumberFormat="1" applyFont="1" applyFill="1" applyBorder="1" applyAlignment="1">
      <alignment vertical="center"/>
    </xf>
    <xf numFmtId="166" fontId="8" fillId="6" borderId="1" xfId="1" applyNumberFormat="1" applyFont="1" applyFill="1" applyBorder="1" applyAlignment="1">
      <alignment vertical="center"/>
    </xf>
    <xf numFmtId="166" fontId="8" fillId="6" borderId="15" xfId="1" applyNumberFormat="1" applyFont="1" applyFill="1" applyBorder="1" applyAlignment="1">
      <alignment vertical="center"/>
    </xf>
    <xf numFmtId="166" fontId="1" fillId="3" borderId="1" xfId="1" applyNumberFormat="1" applyFont="1" applyFill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" fillId="2" borderId="0" xfId="1" applyFont="1" applyFill="1" applyAlignment="1">
      <alignment horizontal="center" vertical="center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14" fontId="8" fillId="7" borderId="13" xfId="1" applyNumberFormat="1" applyFont="1" applyFill="1" applyBorder="1" applyAlignment="1">
      <alignment horizontal="left" vertical="center" indent="1"/>
    </xf>
    <xf numFmtId="14" fontId="8" fillId="7" borderId="1" xfId="1" applyNumberFormat="1" applyFont="1" applyFill="1" applyBorder="1" applyAlignment="1">
      <alignment horizontal="left" vertical="center" indent="1"/>
    </xf>
    <xf numFmtId="14" fontId="8" fillId="7" borderId="15" xfId="1" applyNumberFormat="1" applyFont="1" applyFill="1" applyBorder="1" applyAlignment="1">
      <alignment horizontal="left" vertical="center" indent="1"/>
    </xf>
    <xf numFmtId="1" fontId="8" fillId="6" borderId="8" xfId="1" applyNumberFormat="1" applyFont="1" applyFill="1" applyBorder="1" applyAlignment="1">
      <alignment horizontal="left" vertical="center" indent="1"/>
    </xf>
    <xf numFmtId="1" fontId="8" fillId="0" borderId="0" xfId="1" applyNumberFormat="1" applyFont="1" applyAlignment="1">
      <alignment vertical="center"/>
    </xf>
    <xf numFmtId="0" fontId="1" fillId="6" borderId="8" xfId="1" applyFont="1" applyFill="1" applyBorder="1" applyAlignment="1">
      <alignment vertical="center"/>
    </xf>
    <xf numFmtId="0" fontId="1" fillId="6" borderId="6" xfId="1" applyFont="1" applyFill="1" applyBorder="1" applyAlignment="1">
      <alignment vertical="center"/>
    </xf>
    <xf numFmtId="166" fontId="1" fillId="6" borderId="8" xfId="2" applyNumberFormat="1" applyFont="1" applyFill="1" applyBorder="1" applyAlignment="1">
      <alignment vertical="center"/>
    </xf>
    <xf numFmtId="166" fontId="1" fillId="6" borderId="6" xfId="2" applyNumberFormat="1" applyFont="1" applyFill="1" applyBorder="1" applyAlignment="1">
      <alignment vertical="center"/>
    </xf>
    <xf numFmtId="14" fontId="8" fillId="0" borderId="0" xfId="1" applyNumberFormat="1" applyFont="1" applyFill="1" applyBorder="1" applyAlignment="1">
      <alignment horizontal="left" vertical="center" indent="1"/>
    </xf>
    <xf numFmtId="167" fontId="8" fillId="0" borderId="0" xfId="1" applyNumberFormat="1" applyFont="1" applyFill="1" applyBorder="1" applyAlignment="1">
      <alignment horizontal="left" vertical="center" indent="1"/>
    </xf>
    <xf numFmtId="0" fontId="8" fillId="0" borderId="0" xfId="1" applyFont="1" applyBorder="1" applyAlignment="1">
      <alignment horizontal="left" vertical="center" indent="1"/>
    </xf>
    <xf numFmtId="0" fontId="8" fillId="0" borderId="0" xfId="1" applyFont="1" applyBorder="1" applyAlignment="1">
      <alignment horizontal="right" vertical="center" indent="1"/>
    </xf>
    <xf numFmtId="0" fontId="8" fillId="0" borderId="0" xfId="1" applyFont="1" applyAlignment="1">
      <alignment horizontal="left" vertical="center" indent="1"/>
    </xf>
    <xf numFmtId="166" fontId="1" fillId="0" borderId="8" xfId="2" applyNumberFormat="1" applyFont="1" applyFill="1" applyBorder="1" applyAlignment="1">
      <alignment vertical="center"/>
    </xf>
    <xf numFmtId="166" fontId="1" fillId="0" borderId="10" xfId="2" applyNumberFormat="1" applyFont="1" applyFill="1" applyBorder="1" applyAlignment="1">
      <alignment vertical="center"/>
    </xf>
    <xf numFmtId="166" fontId="1" fillId="0" borderId="5" xfId="2" applyNumberFormat="1" applyFont="1" applyFill="1" applyBorder="1" applyAlignment="1">
      <alignment vertical="center"/>
    </xf>
    <xf numFmtId="0" fontId="1" fillId="0" borderId="8" xfId="1" applyFont="1" applyFill="1" applyBorder="1" applyAlignment="1">
      <alignment vertical="center"/>
    </xf>
    <xf numFmtId="0" fontId="1" fillId="0" borderId="6" xfId="1" applyFont="1" applyFill="1" applyBorder="1" applyAlignment="1">
      <alignment vertical="center"/>
    </xf>
    <xf numFmtId="166" fontId="1" fillId="0" borderId="6" xfId="2" applyNumberFormat="1" applyFont="1" applyFill="1" applyBorder="1" applyAlignment="1">
      <alignment vertical="center"/>
    </xf>
    <xf numFmtId="166" fontId="1" fillId="6" borderId="9" xfId="2" applyNumberFormat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" fillId="0" borderId="0" xfId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vertical="center"/>
    </xf>
    <xf numFmtId="166" fontId="1" fillId="0" borderId="0" xfId="1" applyNumberFormat="1" applyFont="1" applyFill="1" applyBorder="1" applyAlignment="1">
      <alignment vertical="center"/>
    </xf>
    <xf numFmtId="166" fontId="1" fillId="14" borderId="10" xfId="2" applyNumberFormat="1" applyFont="1" applyFill="1" applyBorder="1" applyAlignment="1">
      <alignment vertical="center"/>
    </xf>
    <xf numFmtId="166" fontId="1" fillId="14" borderId="5" xfId="2" applyNumberFormat="1" applyFont="1" applyFill="1" applyBorder="1" applyAlignment="1">
      <alignment vertical="center"/>
    </xf>
    <xf numFmtId="0" fontId="1" fillId="14" borderId="8" xfId="1" applyFont="1" applyFill="1" applyBorder="1" applyAlignment="1">
      <alignment vertical="center"/>
    </xf>
    <xf numFmtId="0" fontId="1" fillId="14" borderId="6" xfId="1" applyFont="1" applyFill="1" applyBorder="1" applyAlignment="1">
      <alignment vertical="center"/>
    </xf>
    <xf numFmtId="166" fontId="1" fillId="14" borderId="8" xfId="2" applyNumberFormat="1" applyFont="1" applyFill="1" applyBorder="1" applyAlignment="1">
      <alignment vertical="center"/>
    </xf>
    <xf numFmtId="166" fontId="1" fillId="14" borderId="6" xfId="2" applyNumberFormat="1" applyFont="1" applyFill="1" applyBorder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 vertical="center" indent="3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8" fillId="6" borderId="0" xfId="1" applyFont="1" applyFill="1" applyAlignment="1">
      <alignment horizontal="right" vertical="center" indent="1"/>
    </xf>
    <xf numFmtId="0" fontId="1" fillId="2" borderId="3" xfId="1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4"/>
    <cellStyle name="Normal_BAB4" xfId="1"/>
    <cellStyle name="Percent 2" xf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KASUS2!$K$4</c:f>
              <c:strCache>
                <c:ptCount val="1"/>
                <c:pt idx="0">
                  <c:v>Utang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C1B-4303-93D9-6AA3A0450A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C1B-4303-93D9-6AA3A0450A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C1B-4303-93D9-6AA3A0450A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C1B-4303-93D9-6AA3A0450A93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C1B-4303-93D9-6AA3A0450A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KASUS2!$J$5:$J$8</c:f>
              <c:strCache>
                <c:ptCount val="4"/>
                <c:pt idx="0">
                  <c:v>PT. ABC</c:v>
                </c:pt>
                <c:pt idx="1">
                  <c:v>Rumah Plus</c:v>
                </c:pt>
                <c:pt idx="2">
                  <c:v>Ibu Ivana</c:v>
                </c:pt>
                <c:pt idx="3">
                  <c:v>Pak Heru</c:v>
                </c:pt>
              </c:strCache>
            </c:strRef>
          </c:cat>
          <c:val>
            <c:numRef>
              <c:f>KASUS2!$K$5:$K$8</c:f>
              <c:numCache>
                <c:formatCode>#,##0_);\(#,##0\)</c:formatCode>
                <c:ptCount val="4"/>
                <c:pt idx="0">
                  <c:v>15750000</c:v>
                </c:pt>
                <c:pt idx="1">
                  <c:v>4150000</c:v>
                </c:pt>
                <c:pt idx="2">
                  <c:v>16250000</c:v>
                </c:pt>
                <c:pt idx="3">
                  <c:v>20150000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C1B-4303-93D9-6AA3A0450A9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KASUS3!$L$5</c:f>
              <c:strCache>
                <c:ptCount val="1"/>
                <c:pt idx="0">
                  <c:v>Utang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CB9-4538-AB0F-0BCF7B6D05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CB9-4538-AB0F-0BCF7B6D05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CB9-4538-AB0F-0BCF7B6D05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CB9-4538-AB0F-0BCF7B6D05D1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CB9-4538-AB0F-0BCF7B6D05D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KASUS3!$K$6:$K$9</c:f>
              <c:strCache>
                <c:ptCount val="4"/>
                <c:pt idx="0">
                  <c:v>PT. ABC</c:v>
                </c:pt>
                <c:pt idx="1">
                  <c:v>Rumah Plus</c:v>
                </c:pt>
                <c:pt idx="2">
                  <c:v>Ibu Ivana</c:v>
                </c:pt>
                <c:pt idx="3">
                  <c:v>Pak Heru</c:v>
                </c:pt>
              </c:strCache>
            </c:strRef>
          </c:cat>
          <c:val>
            <c:numRef>
              <c:f>KASUS3!$L$6:$L$9</c:f>
              <c:numCache>
                <c:formatCode>#,##0_);\(#,##0\)</c:formatCode>
                <c:ptCount val="4"/>
                <c:pt idx="0">
                  <c:v>8250000</c:v>
                </c:pt>
                <c:pt idx="1">
                  <c:v>12000000</c:v>
                </c:pt>
                <c:pt idx="2">
                  <c:v>25750000</c:v>
                </c:pt>
                <c:pt idx="3">
                  <c:v>7650000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CB9-4538-AB0F-0BCF7B6D05D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KASUS7!$B$26</c:f>
          <c:strCache>
            <c:ptCount val="1"/>
            <c:pt idx="0">
              <c:v>Cadangan Kerugian Piutang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00B05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KASUS7!$E$27</c:f>
              <c:strCache>
                <c:ptCount val="1"/>
                <c:pt idx="0">
                  <c:v>Piutang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KASUS7!$E$28:$E$32</c:f>
              <c:numCache>
                <c:formatCode>_(* #,##0_);_(* \(#,##0\);_(* "-"??_);_(@_)</c:formatCode>
                <c:ptCount val="5"/>
                <c:pt idx="0">
                  <c:v>20600000</c:v>
                </c:pt>
                <c:pt idx="1">
                  <c:v>2575000</c:v>
                </c:pt>
                <c:pt idx="2">
                  <c:v>15000000</c:v>
                </c:pt>
                <c:pt idx="3">
                  <c:v>10000000</c:v>
                </c:pt>
                <c:pt idx="4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65-4E85-90C0-E9A085261B59}"/>
            </c:ext>
          </c:extLst>
        </c:ser>
        <c:ser>
          <c:idx val="2"/>
          <c:order val="2"/>
          <c:tx>
            <c:strRef>
              <c:f>KASUS7!$F$27</c:f>
              <c:strCache>
                <c:ptCount val="1"/>
                <c:pt idx="0">
                  <c:v>Cad Kerugian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KASUS7!$F$28:$F$32</c:f>
              <c:numCache>
                <c:formatCode>#,##0_);\(#,##0\)</c:formatCode>
                <c:ptCount val="5"/>
                <c:pt idx="0">
                  <c:v>206000</c:v>
                </c:pt>
                <c:pt idx="1">
                  <c:v>64375</c:v>
                </c:pt>
                <c:pt idx="2">
                  <c:v>750000</c:v>
                </c:pt>
                <c:pt idx="3">
                  <c:v>1000000</c:v>
                </c:pt>
                <c:pt idx="4">
                  <c:v>900000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65-4E85-90C0-E9A085261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574198040"/>
        <c:axId val="574198432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KASUS7!$C$27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KASUS7!$B$28:$B$32</c15:sqref>
                        </c15:formulaRef>
                      </c:ext>
                    </c:extLst>
                    <c:strCache>
                      <c:ptCount val="5"/>
                      <c:pt idx="0">
                        <c:v>Belum Jatuh Tempo</c:v>
                      </c:pt>
                      <c:pt idx="1">
                        <c:v>Terlambat 1-30 hari</c:v>
                      </c:pt>
                      <c:pt idx="2">
                        <c:v>Terlambat 31-60 hari</c:v>
                      </c:pt>
                      <c:pt idx="3">
                        <c:v>Terlambat 61-90 hari</c:v>
                      </c:pt>
                      <c:pt idx="4">
                        <c:v>Terlambat &gt;90 hari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KASUS7!$C$28:$C$32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9565-4E85-90C0-E9A085261B59}"/>
                  </c:ext>
                </c:extLst>
              </c15:ser>
            </c15:filteredBarSeries>
          </c:ext>
        </c:extLst>
      </c:barChart>
      <c:catAx>
        <c:axId val="574198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4198432"/>
        <c:crosses val="autoZero"/>
        <c:auto val="1"/>
        <c:lblAlgn val="ctr"/>
        <c:lblOffset val="100"/>
        <c:noMultiLvlLbl val="0"/>
      </c:catAx>
      <c:valAx>
        <c:axId val="57419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7419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KASUS7!$B$2</c:f>
          <c:strCache>
            <c:ptCount val="1"/>
            <c:pt idx="0">
              <c:v>ANALISIS UMUR PIUTANG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10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3F8-4FA8-BC1F-0657AEB64B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D3F8-4FA8-BC1F-0657AEB64B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3F8-4FA8-BC1F-0657AEB64B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D3F8-4FA8-BC1F-0657AEB64B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3F8-4FA8-BC1F-0657AEB64B3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3F8-4FA8-BC1F-0657AEB64B3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3F8-4FA8-BC1F-0657AEB64B3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KASUS7!$B$28:$B$32</c:f>
              <c:strCache>
                <c:ptCount val="5"/>
                <c:pt idx="0">
                  <c:v>Belum Jatuh Tempo</c:v>
                </c:pt>
                <c:pt idx="1">
                  <c:v>Terlambat 1-30 hari</c:v>
                </c:pt>
                <c:pt idx="2">
                  <c:v>Terlambat 31-60 hari</c:v>
                </c:pt>
                <c:pt idx="3">
                  <c:v>Terlambat 61-90 hari</c:v>
                </c:pt>
                <c:pt idx="4">
                  <c:v>Terlambat &gt;90 hari</c:v>
                </c:pt>
              </c:strCache>
            </c:strRef>
          </c:cat>
          <c:val>
            <c:numRef>
              <c:f>KASUS7!$E$28:$E$32</c:f>
              <c:numCache>
                <c:formatCode>_(* #,##0_);_(* \(#,##0\);_(* "-"??_);_(@_)</c:formatCode>
                <c:ptCount val="5"/>
                <c:pt idx="0">
                  <c:v>20600000</c:v>
                </c:pt>
                <c:pt idx="1">
                  <c:v>2575000</c:v>
                </c:pt>
                <c:pt idx="2">
                  <c:v>15000000</c:v>
                </c:pt>
                <c:pt idx="3">
                  <c:v>10000000</c:v>
                </c:pt>
                <c:pt idx="4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F8-4FA8-BC1F-0657AEB64B3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A$3" horiz="1" max="2" min="1" page="10"/>
</file>

<file path=xl/ctrlProps/ctrlProp10.xml><?xml version="1.0" encoding="utf-8"?>
<formControlPr xmlns="http://schemas.microsoft.com/office/spreadsheetml/2009/9/main" objectType="CheckBox" fmlaLink="$H$11" lockText="1" noThreeD="1"/>
</file>

<file path=xl/ctrlProps/ctrlProp11.xml><?xml version="1.0" encoding="utf-8"?>
<formControlPr xmlns="http://schemas.microsoft.com/office/spreadsheetml/2009/9/main" objectType="CheckBox" checked="Checked" fmlaLink="$H$12" lockText="1" noThreeD="1"/>
</file>

<file path=xl/ctrlProps/ctrlProp12.xml><?xml version="1.0" encoding="utf-8"?>
<formControlPr xmlns="http://schemas.microsoft.com/office/spreadsheetml/2009/9/main" objectType="CheckBox" fmlaLink="$H$13" lockText="1" noThreeD="1"/>
</file>

<file path=xl/ctrlProps/ctrlProp13.xml><?xml version="1.0" encoding="utf-8"?>
<formControlPr xmlns="http://schemas.microsoft.com/office/spreadsheetml/2009/9/main" objectType="CheckBox" checked="Checked" fmlaLink="$H$14" lockText="1" noThreeD="1"/>
</file>

<file path=xl/ctrlProps/ctrlProp14.xml><?xml version="1.0" encoding="utf-8"?>
<formControlPr xmlns="http://schemas.microsoft.com/office/spreadsheetml/2009/9/main" objectType="CheckBox" fmlaLink="$H$15" lockText="1" noThreeD="1"/>
</file>

<file path=xl/ctrlProps/ctrlProp15.xml><?xml version="1.0" encoding="utf-8"?>
<formControlPr xmlns="http://schemas.microsoft.com/office/spreadsheetml/2009/9/main" objectType="CheckBox" fmlaLink="$H$16" lockText="1" noThreeD="1"/>
</file>

<file path=xl/ctrlProps/ctrlProp16.xml><?xml version="1.0" encoding="utf-8"?>
<formControlPr xmlns="http://schemas.microsoft.com/office/spreadsheetml/2009/9/main" objectType="CheckBox" fmlaLink="$H$17" lockText="1" noThreeD="1"/>
</file>

<file path=xl/ctrlProps/ctrlProp17.xml><?xml version="1.0" encoding="utf-8"?>
<formControlPr xmlns="http://schemas.microsoft.com/office/spreadsheetml/2009/9/main" objectType="CheckBox" fmlaLink="$H$18" lockText="1" noThreeD="1"/>
</file>

<file path=xl/ctrlProps/ctrlProp18.xml><?xml version="1.0" encoding="utf-8"?>
<formControlPr xmlns="http://schemas.microsoft.com/office/spreadsheetml/2009/9/main" objectType="CheckBox" fmlaLink="$H$19" lockText="1" noThreeD="1"/>
</file>

<file path=xl/ctrlProps/ctrlProp19.xml><?xml version="1.0" encoding="utf-8"?>
<formControlPr xmlns="http://schemas.microsoft.com/office/spreadsheetml/2009/9/main" objectType="CheckBox" fmlaLink="$H$20" lockText="1" noThreeD="1"/>
</file>

<file path=xl/ctrlProps/ctrlProp2.xml><?xml version="1.0" encoding="utf-8"?>
<formControlPr xmlns="http://schemas.microsoft.com/office/spreadsheetml/2009/9/main" objectType="Scroll" dx="22" fmlaLink="$A$10" horiz="1" max="2" min="1" page="10" val="2"/>
</file>

<file path=xl/ctrlProps/ctrlProp20.xml><?xml version="1.0" encoding="utf-8"?>
<formControlPr xmlns="http://schemas.microsoft.com/office/spreadsheetml/2009/9/main" objectType="CheckBox" checked="Checked" fmlaLink="$I$7" lockText="1" noThreeD="1"/>
</file>

<file path=xl/ctrlProps/ctrlProp21.xml><?xml version="1.0" encoding="utf-8"?>
<formControlPr xmlns="http://schemas.microsoft.com/office/spreadsheetml/2009/9/main" objectType="CheckBox" fmlaLink="$I$8" lockText="1" noThreeD="1"/>
</file>

<file path=xl/ctrlProps/ctrlProp22.xml><?xml version="1.0" encoding="utf-8"?>
<formControlPr xmlns="http://schemas.microsoft.com/office/spreadsheetml/2009/9/main" objectType="CheckBox" checked="Checked" fmlaLink="$I$9" lockText="1" noThreeD="1"/>
</file>

<file path=xl/ctrlProps/ctrlProp23.xml><?xml version="1.0" encoding="utf-8"?>
<formControlPr xmlns="http://schemas.microsoft.com/office/spreadsheetml/2009/9/main" objectType="CheckBox" checked="Checked" fmlaLink="$I$10" lockText="1" noThreeD="1"/>
</file>

<file path=xl/ctrlProps/ctrlProp24.xml><?xml version="1.0" encoding="utf-8"?>
<formControlPr xmlns="http://schemas.microsoft.com/office/spreadsheetml/2009/9/main" objectType="CheckBox" checked="Checked" fmlaLink="$I$11" lockText="1" noThreeD="1"/>
</file>

<file path=xl/ctrlProps/ctrlProp25.xml><?xml version="1.0" encoding="utf-8"?>
<formControlPr xmlns="http://schemas.microsoft.com/office/spreadsheetml/2009/9/main" objectType="CheckBox" fmlaLink="$I$12" lockText="1" noThreeD="1"/>
</file>

<file path=xl/ctrlProps/ctrlProp26.xml><?xml version="1.0" encoding="utf-8"?>
<formControlPr xmlns="http://schemas.microsoft.com/office/spreadsheetml/2009/9/main" objectType="CheckBox" fmlaLink="$I$13" lockText="1" noThreeD="1"/>
</file>

<file path=xl/ctrlProps/ctrlProp27.xml><?xml version="1.0" encoding="utf-8"?>
<formControlPr xmlns="http://schemas.microsoft.com/office/spreadsheetml/2009/9/main" objectType="CheckBox" fmlaLink="$I$14" lockText="1" noThreeD="1"/>
</file>

<file path=xl/ctrlProps/ctrlProp28.xml><?xml version="1.0" encoding="utf-8"?>
<formControlPr xmlns="http://schemas.microsoft.com/office/spreadsheetml/2009/9/main" objectType="CheckBox" fmlaLink="$I$15" lockText="1" noThreeD="1"/>
</file>

<file path=xl/ctrlProps/ctrlProp29.xml><?xml version="1.0" encoding="utf-8"?>
<formControlPr xmlns="http://schemas.microsoft.com/office/spreadsheetml/2009/9/main" objectType="CheckBox" fmlaLink="$I$16" lockText="1" noThreeD="1"/>
</file>

<file path=xl/ctrlProps/ctrlProp3.xml><?xml version="1.0" encoding="utf-8"?>
<formControlPr xmlns="http://schemas.microsoft.com/office/spreadsheetml/2009/9/main" objectType="Scroll" dx="22" fmlaLink="$A$11" horiz="1" inc="250" max="2000" min="1000" page="10" val="1250"/>
</file>

<file path=xl/ctrlProps/ctrlProp30.xml><?xml version="1.0" encoding="utf-8"?>
<formControlPr xmlns="http://schemas.microsoft.com/office/spreadsheetml/2009/9/main" objectType="CheckBox" fmlaLink="$I$17" lockText="1" noThreeD="1"/>
</file>

<file path=xl/ctrlProps/ctrlProp31.xml><?xml version="1.0" encoding="utf-8"?>
<formControlPr xmlns="http://schemas.microsoft.com/office/spreadsheetml/2009/9/main" objectType="CheckBox" fmlaLink="$I$18" lockText="1" noThreeD="1"/>
</file>

<file path=xl/ctrlProps/ctrlProp32.xml><?xml version="1.0" encoding="utf-8"?>
<formControlPr xmlns="http://schemas.microsoft.com/office/spreadsheetml/2009/9/main" objectType="CheckBox" fmlaLink="$I$19" lockText="1" noThreeD="1"/>
</file>

<file path=xl/ctrlProps/ctrlProp33.xml><?xml version="1.0" encoding="utf-8"?>
<formControlPr xmlns="http://schemas.microsoft.com/office/spreadsheetml/2009/9/main" objectType="CheckBox" fmlaLink="$I$20" lockText="1" noThreeD="1"/>
</file>

<file path=xl/ctrlProps/ctrlProp34.xml><?xml version="1.0" encoding="utf-8"?>
<formControlPr xmlns="http://schemas.microsoft.com/office/spreadsheetml/2009/9/main" objectType="CheckBox" fmlaLink="$I$21" lockText="1" noThreeD="1"/>
</file>

<file path=xl/ctrlProps/ctrlProp35.xml><?xml version="1.0" encoding="utf-8"?>
<formControlPr xmlns="http://schemas.microsoft.com/office/spreadsheetml/2009/9/main" objectType="Scroll" dx="22" fmlaLink="$A$4" horiz="1" max="30" page="10" val="0"/>
</file>

<file path=xl/ctrlProps/ctrlProp36.xml><?xml version="1.0" encoding="utf-8"?>
<formControlPr xmlns="http://schemas.microsoft.com/office/spreadsheetml/2009/9/main" objectType="Scroll" dx="22" fmlaLink="$E$4" horiz="1" inc="5" max="30" min="15" page="10" val="30"/>
</file>

<file path=xl/ctrlProps/ctrlProp37.xml><?xml version="1.0" encoding="utf-8"?>
<formControlPr xmlns="http://schemas.microsoft.com/office/spreadsheetml/2009/9/main" objectType="Scroll" dx="22" fmlaLink="$A$3" horiz="1" max="100" page="10" val="25"/>
</file>

<file path=xl/ctrlProps/ctrlProp38.xml><?xml version="1.0" encoding="utf-8"?>
<formControlPr xmlns="http://schemas.microsoft.com/office/spreadsheetml/2009/9/main" objectType="Scroll" dx="22" fmlaLink="$A$3" horiz="1" max="100" page="10" val="25"/>
</file>

<file path=xl/ctrlProps/ctrlProp39.xml><?xml version="1.0" encoding="utf-8"?>
<formControlPr xmlns="http://schemas.microsoft.com/office/spreadsheetml/2009/9/main" objectType="Scroll" dx="22" fmlaLink="$A$3" horiz="1" max="100" page="10" val="24"/>
</file>

<file path=xl/ctrlProps/ctrlProp4.xml><?xml version="1.0" encoding="utf-8"?>
<formControlPr xmlns="http://schemas.microsoft.com/office/spreadsheetml/2009/9/main" objectType="Scroll" dx="22" fmlaLink="$A$12" horiz="1" inc="50" max="800" min="250" page="10" val="800"/>
</file>

<file path=xl/ctrlProps/ctrlProp40.xml><?xml version="1.0" encoding="utf-8"?>
<formControlPr xmlns="http://schemas.microsoft.com/office/spreadsheetml/2009/9/main" objectType="Scroll" dx="22" fmlaLink="$A$3" horiz="1" max="100" page="10" val="18"/>
</file>

<file path=xl/ctrlProps/ctrlProp5.xml><?xml version="1.0" encoding="utf-8"?>
<formControlPr xmlns="http://schemas.microsoft.com/office/spreadsheetml/2009/9/main" objectType="CheckBox" checked="Checked" fmlaLink="$H$6" lockText="1" noThreeD="1"/>
</file>

<file path=xl/ctrlProps/ctrlProp6.xml><?xml version="1.0" encoding="utf-8"?>
<formControlPr xmlns="http://schemas.microsoft.com/office/spreadsheetml/2009/9/main" objectType="CheckBox" checked="Checked" fmlaLink="$H$7" lockText="1" noThreeD="1"/>
</file>

<file path=xl/ctrlProps/ctrlProp7.xml><?xml version="1.0" encoding="utf-8"?>
<formControlPr xmlns="http://schemas.microsoft.com/office/spreadsheetml/2009/9/main" objectType="CheckBox" fmlaLink="$H$8" lockText="1" noThreeD="1"/>
</file>

<file path=xl/ctrlProps/ctrlProp8.xml><?xml version="1.0" encoding="utf-8"?>
<formControlPr xmlns="http://schemas.microsoft.com/office/spreadsheetml/2009/9/main" objectType="CheckBox" checked="Checked" fmlaLink="$H$9" lockText="1" noThreeD="1"/>
</file>

<file path=xl/ctrlProps/ctrlProp9.xml><?xml version="1.0" encoding="utf-8"?>
<formControlPr xmlns="http://schemas.microsoft.com/office/spreadsheetml/2009/9/main" objectType="CheckBox" fmlaLink="$H$10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</xdr:row>
          <xdr:rowOff>28575</xdr:rowOff>
        </xdr:from>
        <xdr:to>
          <xdr:col>2</xdr:col>
          <xdr:colOff>895350</xdr:colOff>
          <xdr:row>2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9</xdr:row>
          <xdr:rowOff>38100</xdr:rowOff>
        </xdr:from>
        <xdr:to>
          <xdr:col>1</xdr:col>
          <xdr:colOff>1476375</xdr:colOff>
          <xdr:row>9</xdr:row>
          <xdr:rowOff>200025</xdr:rowOff>
        </xdr:to>
        <xdr:sp macro="" textlink="">
          <xdr:nvSpPr>
            <xdr:cNvPr id="11267" name="Scroll Bar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="" xmlns:a16="http://schemas.microsoft.com/office/drawing/2014/main" id="{00000000-0008-0000-06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10</xdr:row>
          <xdr:rowOff>28575</xdr:rowOff>
        </xdr:from>
        <xdr:to>
          <xdr:col>1</xdr:col>
          <xdr:colOff>1476375</xdr:colOff>
          <xdr:row>10</xdr:row>
          <xdr:rowOff>190500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="" xmlns:a16="http://schemas.microsoft.com/office/drawing/2014/main" id="{00000000-0008-0000-06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11</xdr:row>
          <xdr:rowOff>19050</xdr:rowOff>
        </xdr:from>
        <xdr:to>
          <xdr:col>1</xdr:col>
          <xdr:colOff>1476375</xdr:colOff>
          <xdr:row>11</xdr:row>
          <xdr:rowOff>180975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="" xmlns:a16="http://schemas.microsoft.com/office/drawing/2014/main" id="{00000000-0008-0000-06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5</xdr:row>
          <xdr:rowOff>0</xdr:rowOff>
        </xdr:from>
        <xdr:to>
          <xdr:col>7</xdr:col>
          <xdr:colOff>361950</xdr:colOff>
          <xdr:row>5</xdr:row>
          <xdr:rowOff>180975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=""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6</xdr:row>
          <xdr:rowOff>0</xdr:rowOff>
        </xdr:from>
        <xdr:to>
          <xdr:col>7</xdr:col>
          <xdr:colOff>361950</xdr:colOff>
          <xdr:row>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=""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7</xdr:row>
          <xdr:rowOff>0</xdr:rowOff>
        </xdr:from>
        <xdr:to>
          <xdr:col>7</xdr:col>
          <xdr:colOff>361950</xdr:colOff>
          <xdr:row>7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=""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8</xdr:row>
          <xdr:rowOff>0</xdr:rowOff>
        </xdr:from>
        <xdr:to>
          <xdr:col>7</xdr:col>
          <xdr:colOff>361950</xdr:colOff>
          <xdr:row>8</xdr:row>
          <xdr:rowOff>180975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=""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9</xdr:row>
          <xdr:rowOff>0</xdr:rowOff>
        </xdr:from>
        <xdr:to>
          <xdr:col>7</xdr:col>
          <xdr:colOff>361950</xdr:colOff>
          <xdr:row>9</xdr:row>
          <xdr:rowOff>180975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=""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10</xdr:row>
          <xdr:rowOff>0</xdr:rowOff>
        </xdr:from>
        <xdr:to>
          <xdr:col>7</xdr:col>
          <xdr:colOff>361950</xdr:colOff>
          <xdr:row>10</xdr:row>
          <xdr:rowOff>180975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=""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11</xdr:row>
          <xdr:rowOff>0</xdr:rowOff>
        </xdr:from>
        <xdr:to>
          <xdr:col>7</xdr:col>
          <xdr:colOff>361950</xdr:colOff>
          <xdr:row>11</xdr:row>
          <xdr:rowOff>180975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=""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12</xdr:row>
          <xdr:rowOff>0</xdr:rowOff>
        </xdr:from>
        <xdr:to>
          <xdr:col>7</xdr:col>
          <xdr:colOff>361950</xdr:colOff>
          <xdr:row>12</xdr:row>
          <xdr:rowOff>180975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=""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13</xdr:row>
          <xdr:rowOff>0</xdr:rowOff>
        </xdr:from>
        <xdr:to>
          <xdr:col>7</xdr:col>
          <xdr:colOff>361950</xdr:colOff>
          <xdr:row>13</xdr:row>
          <xdr:rowOff>180975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=""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14</xdr:row>
          <xdr:rowOff>0</xdr:rowOff>
        </xdr:from>
        <xdr:to>
          <xdr:col>7</xdr:col>
          <xdr:colOff>361950</xdr:colOff>
          <xdr:row>14</xdr:row>
          <xdr:rowOff>180975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=""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15</xdr:row>
          <xdr:rowOff>0</xdr:rowOff>
        </xdr:from>
        <xdr:to>
          <xdr:col>7</xdr:col>
          <xdr:colOff>361950</xdr:colOff>
          <xdr:row>15</xdr:row>
          <xdr:rowOff>180975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=""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16</xdr:row>
          <xdr:rowOff>0</xdr:rowOff>
        </xdr:from>
        <xdr:to>
          <xdr:col>7</xdr:col>
          <xdr:colOff>361950</xdr:colOff>
          <xdr:row>16</xdr:row>
          <xdr:rowOff>180975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=""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17</xdr:row>
          <xdr:rowOff>0</xdr:rowOff>
        </xdr:from>
        <xdr:to>
          <xdr:col>7</xdr:col>
          <xdr:colOff>361950</xdr:colOff>
          <xdr:row>17</xdr:row>
          <xdr:rowOff>180975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=""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18</xdr:row>
          <xdr:rowOff>0</xdr:rowOff>
        </xdr:from>
        <xdr:to>
          <xdr:col>7</xdr:col>
          <xdr:colOff>361950</xdr:colOff>
          <xdr:row>18</xdr:row>
          <xdr:rowOff>180975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=""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19</xdr:row>
          <xdr:rowOff>0</xdr:rowOff>
        </xdr:from>
        <xdr:to>
          <xdr:col>7</xdr:col>
          <xdr:colOff>361950</xdr:colOff>
          <xdr:row>19</xdr:row>
          <xdr:rowOff>180975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=""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1</xdr:colOff>
      <xdr:row>9</xdr:row>
      <xdr:rowOff>138112</xdr:rowOff>
    </xdr:from>
    <xdr:to>
      <xdr:col>15</xdr:col>
      <xdr:colOff>9525</xdr:colOff>
      <xdr:row>23</xdr:row>
      <xdr:rowOff>214312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5</xdr:row>
          <xdr:rowOff>180975</xdr:rowOff>
        </xdr:from>
        <xdr:to>
          <xdr:col>8</xdr:col>
          <xdr:colOff>361950</xdr:colOff>
          <xdr:row>6</xdr:row>
          <xdr:rowOff>171450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7</xdr:row>
          <xdr:rowOff>0</xdr:rowOff>
        </xdr:from>
        <xdr:to>
          <xdr:col>8</xdr:col>
          <xdr:colOff>361950</xdr:colOff>
          <xdr:row>7</xdr:row>
          <xdr:rowOff>180975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8</xdr:row>
          <xdr:rowOff>0</xdr:rowOff>
        </xdr:from>
        <xdr:to>
          <xdr:col>8</xdr:col>
          <xdr:colOff>361950</xdr:colOff>
          <xdr:row>8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9</xdr:row>
          <xdr:rowOff>0</xdr:rowOff>
        </xdr:from>
        <xdr:to>
          <xdr:col>8</xdr:col>
          <xdr:colOff>361950</xdr:colOff>
          <xdr:row>9</xdr:row>
          <xdr:rowOff>180975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=""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10</xdr:row>
          <xdr:rowOff>0</xdr:rowOff>
        </xdr:from>
        <xdr:to>
          <xdr:col>8</xdr:col>
          <xdr:colOff>361950</xdr:colOff>
          <xdr:row>10</xdr:row>
          <xdr:rowOff>180975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=""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11</xdr:row>
          <xdr:rowOff>0</xdr:rowOff>
        </xdr:from>
        <xdr:to>
          <xdr:col>8</xdr:col>
          <xdr:colOff>361950</xdr:colOff>
          <xdr:row>11</xdr:row>
          <xdr:rowOff>180975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=""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12</xdr:row>
          <xdr:rowOff>0</xdr:rowOff>
        </xdr:from>
        <xdr:to>
          <xdr:col>8</xdr:col>
          <xdr:colOff>361950</xdr:colOff>
          <xdr:row>12</xdr:row>
          <xdr:rowOff>180975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=""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13</xdr:row>
          <xdr:rowOff>0</xdr:rowOff>
        </xdr:from>
        <xdr:to>
          <xdr:col>8</xdr:col>
          <xdr:colOff>361950</xdr:colOff>
          <xdr:row>13</xdr:row>
          <xdr:rowOff>180975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=""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14</xdr:row>
          <xdr:rowOff>0</xdr:rowOff>
        </xdr:from>
        <xdr:to>
          <xdr:col>8</xdr:col>
          <xdr:colOff>361950</xdr:colOff>
          <xdr:row>14</xdr:row>
          <xdr:rowOff>180975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=""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15</xdr:row>
          <xdr:rowOff>0</xdr:rowOff>
        </xdr:from>
        <xdr:to>
          <xdr:col>8</xdr:col>
          <xdr:colOff>361950</xdr:colOff>
          <xdr:row>15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=""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16</xdr:row>
          <xdr:rowOff>0</xdr:rowOff>
        </xdr:from>
        <xdr:to>
          <xdr:col>8</xdr:col>
          <xdr:colOff>361950</xdr:colOff>
          <xdr:row>16</xdr:row>
          <xdr:rowOff>180975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=""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17</xdr:row>
          <xdr:rowOff>0</xdr:rowOff>
        </xdr:from>
        <xdr:to>
          <xdr:col>8</xdr:col>
          <xdr:colOff>361950</xdr:colOff>
          <xdr:row>17</xdr:row>
          <xdr:rowOff>180975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=""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18</xdr:row>
          <xdr:rowOff>0</xdr:rowOff>
        </xdr:from>
        <xdr:to>
          <xdr:col>8</xdr:col>
          <xdr:colOff>361950</xdr:colOff>
          <xdr:row>18</xdr:row>
          <xdr:rowOff>180975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=""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19</xdr:row>
          <xdr:rowOff>0</xdr:rowOff>
        </xdr:from>
        <xdr:to>
          <xdr:col>8</xdr:col>
          <xdr:colOff>361950</xdr:colOff>
          <xdr:row>19</xdr:row>
          <xdr:rowOff>180975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=""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20</xdr:row>
          <xdr:rowOff>0</xdr:rowOff>
        </xdr:from>
        <xdr:to>
          <xdr:col>8</xdr:col>
          <xdr:colOff>361950</xdr:colOff>
          <xdr:row>20</xdr:row>
          <xdr:rowOff>180975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=""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</xdr:row>
          <xdr:rowOff>19050</xdr:rowOff>
        </xdr:from>
        <xdr:to>
          <xdr:col>3</xdr:col>
          <xdr:colOff>647700</xdr:colOff>
          <xdr:row>3</xdr:row>
          <xdr:rowOff>180975</xdr:rowOff>
        </xdr:to>
        <xdr:sp macro="" textlink="">
          <xdr:nvSpPr>
            <xdr:cNvPr id="4112" name="Scroll Bar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=""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0</xdr:colOff>
      <xdr:row>11</xdr:row>
      <xdr:rowOff>14287</xdr:rowOff>
    </xdr:from>
    <xdr:to>
      <xdr:col>16</xdr:col>
      <xdr:colOff>0</xdr:colOff>
      <xdr:row>25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3</xdr:row>
          <xdr:rowOff>9525</xdr:rowOff>
        </xdr:from>
        <xdr:to>
          <xdr:col>3</xdr:col>
          <xdr:colOff>809625</xdr:colOff>
          <xdr:row>3</xdr:row>
          <xdr:rowOff>171450</xdr:rowOff>
        </xdr:to>
        <xdr:sp macro="" textlink="">
          <xdr:nvSpPr>
            <xdr:cNvPr id="19457" name="Scroll Bar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="" xmlns:a16="http://schemas.microsoft.com/office/drawing/2014/main" id="{275B837A-18AC-4D33-AE2D-A14422F295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19050</xdr:rowOff>
        </xdr:from>
        <xdr:to>
          <xdr:col>3</xdr:col>
          <xdr:colOff>809625</xdr:colOff>
          <xdr:row>2</xdr:row>
          <xdr:rowOff>180975</xdr:rowOff>
        </xdr:to>
        <xdr:sp macro="" textlink="">
          <xdr:nvSpPr>
            <xdr:cNvPr id="19458" name="Scroll Bar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="" xmlns:a16="http://schemas.microsoft.com/office/drawing/2014/main" id="{F9B78908-53A0-4EC5-9DF6-146A31A75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</xdr:row>
          <xdr:rowOff>28575</xdr:rowOff>
        </xdr:from>
        <xdr:to>
          <xdr:col>3</xdr:col>
          <xdr:colOff>800100</xdr:colOff>
          <xdr:row>3</xdr:row>
          <xdr:rowOff>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="" xmlns:a16="http://schemas.microsoft.com/office/drawing/2014/main" id="{C631E560-032D-4F2E-9FFF-9C5881676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</xdr:row>
          <xdr:rowOff>9525</xdr:rowOff>
        </xdr:from>
        <xdr:to>
          <xdr:col>3</xdr:col>
          <xdr:colOff>800100</xdr:colOff>
          <xdr:row>2</xdr:row>
          <xdr:rowOff>171450</xdr:rowOff>
        </xdr:to>
        <xdr:sp macro="" textlink="">
          <xdr:nvSpPr>
            <xdr:cNvPr id="17409" name="Scroll Bar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="" xmlns:a16="http://schemas.microsoft.com/office/drawing/2014/main" id="{F0483B8C-4F6E-4F36-B6F1-A88544479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26</xdr:row>
      <xdr:rowOff>4760</xdr:rowOff>
    </xdr:from>
    <xdr:to>
      <xdr:col>12</xdr:col>
      <xdr:colOff>866775</xdr:colOff>
      <xdr:row>44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17A7683-730C-47BF-9001-93C634EEE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9525</xdr:rowOff>
        </xdr:from>
        <xdr:to>
          <xdr:col>3</xdr:col>
          <xdr:colOff>771525</xdr:colOff>
          <xdr:row>2</xdr:row>
          <xdr:rowOff>171450</xdr:rowOff>
        </xdr:to>
        <xdr:sp macro="" textlink="">
          <xdr:nvSpPr>
            <xdr:cNvPr id="18434" name="Scroll Bar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="" xmlns:a16="http://schemas.microsoft.com/office/drawing/2014/main" id="{DC45BFCA-6083-4236-B997-DC4EE00140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380498</xdr:colOff>
      <xdr:row>34</xdr:row>
      <xdr:rowOff>4761</xdr:rowOff>
    </xdr:from>
    <xdr:to>
      <xdr:col>6</xdr:col>
      <xdr:colOff>511342</xdr:colOff>
      <xdr:row>51</xdr:row>
      <xdr:rowOff>10026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2C5C1968-6354-48D3-B84B-D44B2592B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17" Type="http://schemas.openxmlformats.org/officeDocument/2006/relationships/ctrlProp" Target="../ctrlProps/ctrlProp19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18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5" Type="http://schemas.openxmlformats.org/officeDocument/2006/relationships/ctrlProp" Target="../ctrlProps/ctrlProp1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Relationship Id="rId14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" Type="http://schemas.openxmlformats.org/officeDocument/2006/relationships/ctrlProp" Target="../ctrlProps/ctrlProp20.x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33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5" Type="http://schemas.openxmlformats.org/officeDocument/2006/relationships/ctrlProp" Target="../ctrlProps/ctrlProp32.xml"/><Relationship Id="rId10" Type="http://schemas.openxmlformats.org/officeDocument/2006/relationships/ctrlProp" Target="../ctrlProps/ctrlProp27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4" Type="http://schemas.openxmlformats.org/officeDocument/2006/relationships/ctrlProp" Target="../ctrlProps/ctrlProp3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3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showGridLines="0" tabSelected="1" workbookViewId="0">
      <selection activeCell="I25" sqref="I25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5.42578125" style="1" customWidth="1"/>
    <col min="4" max="4" width="19.7109375" style="1" customWidth="1"/>
    <col min="5" max="5" width="12" style="1" customWidth="1"/>
    <col min="6" max="6" width="13.7109375" style="1" customWidth="1"/>
    <col min="7" max="7" width="5.85546875" style="1" customWidth="1"/>
    <col min="8" max="8" width="23.140625" style="1" customWidth="1"/>
    <col min="9" max="9" width="11.28515625" style="1" customWidth="1"/>
    <col min="10" max="16384" width="9.140625" style="1"/>
  </cols>
  <sheetData>
    <row r="1" spans="1:6" ht="19.5" customHeight="1" x14ac:dyDescent="0.25"/>
    <row r="2" spans="1:6" ht="18.75" x14ac:dyDescent="0.25">
      <c r="B2" s="13" t="s">
        <v>45</v>
      </c>
    </row>
    <row r="3" spans="1:6" ht="17.25" customHeight="1" x14ac:dyDescent="0.25">
      <c r="A3" s="28">
        <v>1</v>
      </c>
      <c r="B3" s="47" t="s">
        <v>48</v>
      </c>
      <c r="C3" s="48" t="s">
        <v>46</v>
      </c>
      <c r="D3" s="49" t="str">
        <f>IF(A3=1,"Dari","Kepada")</f>
        <v>Dari</v>
      </c>
      <c r="E3" s="47" t="s">
        <v>2</v>
      </c>
    </row>
    <row r="4" spans="1:6" x14ac:dyDescent="0.25">
      <c r="B4" s="44" t="s">
        <v>49</v>
      </c>
      <c r="C4" s="46" t="str">
        <f>IF(A3=1,"Meminjam","Meminjamkan")</f>
        <v>Meminjam</v>
      </c>
      <c r="D4" s="46" t="s">
        <v>47</v>
      </c>
      <c r="E4" s="45">
        <v>10000000</v>
      </c>
    </row>
    <row r="6" spans="1:6" ht="16.5" customHeight="1" x14ac:dyDescent="0.25">
      <c r="B6" s="154" t="str">
        <f>IF(A3=1,B4,D4)&amp;" memiliki UTANG kepada "&amp;IF(A3=1,D4,B4)&amp;" sebesar Rp "&amp;TEXT(E4,"#.###")</f>
        <v>Jodhi Hermawan memiliki UTANG kepada Yosie Hanto Prayoga sebesar Rp 10.000.000</v>
      </c>
      <c r="C6" s="154"/>
      <c r="D6" s="154"/>
      <c r="E6" s="154"/>
      <c r="F6" s="154"/>
    </row>
    <row r="7" spans="1:6" ht="5.25" customHeight="1" x14ac:dyDescent="0.25"/>
    <row r="8" spans="1:6" ht="16.5" customHeight="1" x14ac:dyDescent="0.25">
      <c r="B8" s="155" t="str">
        <f>IF(A3=1,D4,B4)&amp;" memiliki PIUTANG dari "&amp;IF(A3=1,B4,D4)&amp;" sebesar Rp "&amp;TEXT(E4,"#.000")</f>
        <v>Yosie Hanto Prayoga memiliki PIUTANG dari Jodhi Hermawan sebesar Rp 10.000.000</v>
      </c>
      <c r="C8" s="155"/>
      <c r="D8" s="155"/>
      <c r="E8" s="155"/>
      <c r="F8" s="155"/>
    </row>
    <row r="10" spans="1:6" ht="17.25" customHeight="1" x14ac:dyDescent="0.25">
      <c r="A10" s="28">
        <v>2</v>
      </c>
      <c r="B10" s="54" t="s">
        <v>50</v>
      </c>
      <c r="C10" s="51" t="str">
        <f>IF(A10=1,"membeli","menjual")</f>
        <v>menjual</v>
      </c>
    </row>
    <row r="11" spans="1:6" ht="17.25" customHeight="1" x14ac:dyDescent="0.25">
      <c r="A11" s="28">
        <v>1250</v>
      </c>
      <c r="B11" s="54" t="str">
        <f>IF(A10=1,"Harga beli","Nilai jual")</f>
        <v>Nilai jual</v>
      </c>
      <c r="C11" s="52">
        <f>A11*1000</f>
        <v>1250000</v>
      </c>
    </row>
    <row r="12" spans="1:6" ht="17.25" customHeight="1" x14ac:dyDescent="0.25">
      <c r="A12" s="28">
        <v>800</v>
      </c>
      <c r="B12" s="55" t="str">
        <f>IF(A10=1,"Dibayar","Diterima")</f>
        <v>Diterima</v>
      </c>
      <c r="C12" s="56">
        <f>A12*1000</f>
        <v>800000</v>
      </c>
    </row>
    <row r="13" spans="1:6" ht="17.25" customHeight="1" x14ac:dyDescent="0.25">
      <c r="B13" s="50" t="str">
        <f>IF(A10=1,"UTANG","PIUTANG")</f>
        <v>PIUTANG</v>
      </c>
      <c r="C13" s="53">
        <f>C11-C12</f>
        <v>450000</v>
      </c>
    </row>
    <row r="14" spans="1:6" ht="19.5" customHeight="1" x14ac:dyDescent="0.25"/>
  </sheetData>
  <mergeCells count="2">
    <mergeCell ref="B6:F6"/>
    <mergeCell ref="B8:F8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2</xdr:col>
                    <xdr:colOff>409575</xdr:colOff>
                    <xdr:row>2</xdr:row>
                    <xdr:rowOff>28575</xdr:rowOff>
                  </from>
                  <to>
                    <xdr:col>2</xdr:col>
                    <xdr:colOff>895350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Scroll Bar 3">
              <controlPr defaultSize="0" autoPict="0">
                <anchor moveWithCells="1">
                  <from>
                    <xdr:col>1</xdr:col>
                    <xdr:colOff>990600</xdr:colOff>
                    <xdr:row>9</xdr:row>
                    <xdr:rowOff>38100</xdr:rowOff>
                  </from>
                  <to>
                    <xdr:col>1</xdr:col>
                    <xdr:colOff>1476375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Scroll Bar 4">
              <controlPr defaultSize="0" autoPict="0">
                <anchor moveWithCells="1">
                  <from>
                    <xdr:col>1</xdr:col>
                    <xdr:colOff>990600</xdr:colOff>
                    <xdr:row>10</xdr:row>
                    <xdr:rowOff>28575</xdr:rowOff>
                  </from>
                  <to>
                    <xdr:col>1</xdr:col>
                    <xdr:colOff>1476375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Scroll Bar 5">
              <controlPr defaultSize="0" autoPict="0">
                <anchor moveWithCells="1">
                  <from>
                    <xdr:col>1</xdr:col>
                    <xdr:colOff>990600</xdr:colOff>
                    <xdr:row>11</xdr:row>
                    <xdr:rowOff>19050</xdr:rowOff>
                  </from>
                  <to>
                    <xdr:col>1</xdr:col>
                    <xdr:colOff>1476375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5"/>
  <sheetViews>
    <sheetView showGridLines="0" zoomScale="98" zoomScaleNormal="98" workbookViewId="0">
      <selection activeCell="S30" sqref="S30"/>
    </sheetView>
  </sheetViews>
  <sheetFormatPr defaultRowHeight="15" x14ac:dyDescent="0.25"/>
  <cols>
    <col min="1" max="1" width="5.85546875" style="1" customWidth="1"/>
    <col min="2" max="2" width="5.7109375" style="1" customWidth="1"/>
    <col min="3" max="3" width="11.5703125" style="1" customWidth="1"/>
    <col min="4" max="4" width="14.140625" style="1" customWidth="1"/>
    <col min="5" max="5" width="13.85546875" style="1" customWidth="1"/>
    <col min="6" max="6" width="11.28515625" style="1" customWidth="1"/>
    <col min="7" max="7" width="13.7109375" style="1" customWidth="1"/>
    <col min="8" max="8" width="8" style="1" customWidth="1"/>
    <col min="9" max="9" width="5.140625" style="1" customWidth="1"/>
    <col min="10" max="10" width="14.140625" style="1" customWidth="1"/>
    <col min="11" max="11" width="12.5703125" style="1" customWidth="1"/>
    <col min="12" max="14" width="9.140625" style="1"/>
    <col min="15" max="15" width="14.28515625" style="1" customWidth="1"/>
    <col min="16" max="16" width="5.85546875" style="1" customWidth="1"/>
    <col min="17" max="16384" width="9.140625" style="1"/>
  </cols>
  <sheetData>
    <row r="1" spans="2:11" ht="19.5" customHeight="1" x14ac:dyDescent="0.25"/>
    <row r="2" spans="2:11" ht="18.75" x14ac:dyDescent="0.25">
      <c r="B2" s="13" t="s">
        <v>6</v>
      </c>
    </row>
    <row r="3" spans="2:11" ht="15.75" x14ac:dyDescent="0.25">
      <c r="B3" s="21" t="s">
        <v>14</v>
      </c>
    </row>
    <row r="4" spans="2:11" ht="15" customHeight="1" x14ac:dyDescent="0.25">
      <c r="B4" s="156" t="s">
        <v>0</v>
      </c>
      <c r="C4" s="158" t="s">
        <v>7</v>
      </c>
      <c r="D4" s="160" t="s">
        <v>4</v>
      </c>
      <c r="E4" s="158" t="s">
        <v>8</v>
      </c>
      <c r="F4" s="160" t="s">
        <v>2</v>
      </c>
      <c r="G4" s="158" t="s">
        <v>9</v>
      </c>
      <c r="H4" s="156" t="s">
        <v>10</v>
      </c>
      <c r="J4" s="3" t="s">
        <v>4</v>
      </c>
      <c r="K4" s="14" t="s">
        <v>3</v>
      </c>
    </row>
    <row r="5" spans="2:11" ht="15" customHeight="1" x14ac:dyDescent="0.25">
      <c r="B5" s="157"/>
      <c r="C5" s="159"/>
      <c r="D5" s="161"/>
      <c r="E5" s="159"/>
      <c r="F5" s="161"/>
      <c r="G5" s="159"/>
      <c r="H5" s="157"/>
      <c r="J5" s="18" t="s">
        <v>11</v>
      </c>
      <c r="K5" s="16">
        <f>SUMIFS(F$6:F$20,D$6:D$20,J5,H$6:H$20,FALSE)</f>
        <v>15750000</v>
      </c>
    </row>
    <row r="6" spans="2:11" x14ac:dyDescent="0.25">
      <c r="B6" s="4">
        <v>1</v>
      </c>
      <c r="C6" s="5">
        <v>43467</v>
      </c>
      <c r="D6" s="6" t="s">
        <v>11</v>
      </c>
      <c r="E6" s="7">
        <v>10</v>
      </c>
      <c r="F6" s="8">
        <v>4750000</v>
      </c>
      <c r="G6" s="5">
        <f>C6+E6</f>
        <v>43477</v>
      </c>
      <c r="H6" s="9" t="b">
        <v>1</v>
      </c>
      <c r="J6" s="19" t="s">
        <v>5</v>
      </c>
      <c r="K6" s="15">
        <f>SUMIFS(F$6:F$20,D$6:D$20,J6,H$6:H$20,FALSE)</f>
        <v>4150000</v>
      </c>
    </row>
    <row r="7" spans="2:11" x14ac:dyDescent="0.25">
      <c r="B7" s="4">
        <v>2</v>
      </c>
      <c r="C7" s="5">
        <v>43471</v>
      </c>
      <c r="D7" s="6" t="s">
        <v>5</v>
      </c>
      <c r="E7" s="7">
        <v>20</v>
      </c>
      <c r="F7" s="8">
        <v>5500000</v>
      </c>
      <c r="G7" s="5">
        <f t="shared" ref="G7:G20" si="0">C7+E7</f>
        <v>43491</v>
      </c>
      <c r="H7" s="9" t="b">
        <v>1</v>
      </c>
      <c r="J7" s="19" t="s">
        <v>12</v>
      </c>
      <c r="K7" s="15">
        <f>SUMIFS(F$6:F$20,D$6:D$20,J7,H$6:H$20,FALSE)</f>
        <v>16250000</v>
      </c>
    </row>
    <row r="8" spans="2:11" x14ac:dyDescent="0.25">
      <c r="B8" s="4">
        <v>3</v>
      </c>
      <c r="C8" s="5">
        <v>43473</v>
      </c>
      <c r="D8" s="6" t="s">
        <v>13</v>
      </c>
      <c r="E8" s="7">
        <v>14</v>
      </c>
      <c r="F8" s="8">
        <v>12500000</v>
      </c>
      <c r="G8" s="5">
        <f t="shared" si="0"/>
        <v>43487</v>
      </c>
      <c r="H8" s="9" t="b">
        <v>0</v>
      </c>
      <c r="J8" s="20" t="s">
        <v>13</v>
      </c>
      <c r="K8" s="17">
        <f>SUMIFS(F$6:F$20,D$6:D$20,J8,H$6:H$20,FALSE)</f>
        <v>20150000</v>
      </c>
    </row>
    <row r="9" spans="2:11" x14ac:dyDescent="0.25">
      <c r="B9" s="4">
        <v>4</v>
      </c>
      <c r="C9" s="5">
        <v>43477</v>
      </c>
      <c r="D9" s="6" t="s">
        <v>12</v>
      </c>
      <c r="E9" s="7">
        <v>5</v>
      </c>
      <c r="F9" s="8">
        <v>9250000</v>
      </c>
      <c r="G9" s="5">
        <f t="shared" si="0"/>
        <v>43482</v>
      </c>
      <c r="H9" s="9" t="b">
        <v>1</v>
      </c>
      <c r="J9" s="2" t="s">
        <v>2</v>
      </c>
      <c r="K9" s="22">
        <f>SUM(K5:K8)</f>
        <v>56300000</v>
      </c>
    </row>
    <row r="10" spans="2:11" x14ac:dyDescent="0.25">
      <c r="B10" s="4">
        <v>5</v>
      </c>
      <c r="C10" s="5">
        <v>43479</v>
      </c>
      <c r="D10" s="6" t="s">
        <v>11</v>
      </c>
      <c r="E10" s="7">
        <v>10</v>
      </c>
      <c r="F10" s="8">
        <v>7500000</v>
      </c>
      <c r="G10" s="5">
        <f t="shared" si="0"/>
        <v>43489</v>
      </c>
      <c r="H10" s="9" t="b">
        <v>0</v>
      </c>
    </row>
    <row r="11" spans="2:11" x14ac:dyDescent="0.25">
      <c r="B11" s="4">
        <v>6</v>
      </c>
      <c r="C11" s="5">
        <v>43479</v>
      </c>
      <c r="D11" s="6" t="s">
        <v>13</v>
      </c>
      <c r="E11" s="7">
        <v>21</v>
      </c>
      <c r="F11" s="8">
        <v>1250000</v>
      </c>
      <c r="G11" s="5">
        <f t="shared" si="0"/>
        <v>43500</v>
      </c>
      <c r="H11" s="9" t="b">
        <v>0</v>
      </c>
    </row>
    <row r="12" spans="2:11" x14ac:dyDescent="0.25">
      <c r="B12" s="4">
        <v>7</v>
      </c>
      <c r="C12" s="5">
        <v>43482</v>
      </c>
      <c r="D12" s="6" t="s">
        <v>5</v>
      </c>
      <c r="E12" s="7">
        <v>15</v>
      </c>
      <c r="F12" s="8">
        <v>2350000</v>
      </c>
      <c r="G12" s="5">
        <f t="shared" si="0"/>
        <v>43497</v>
      </c>
      <c r="H12" s="9" t="b">
        <v>1</v>
      </c>
    </row>
    <row r="13" spans="2:11" x14ac:dyDescent="0.25">
      <c r="B13" s="4">
        <v>8</v>
      </c>
      <c r="C13" s="5">
        <v>43483</v>
      </c>
      <c r="D13" s="6" t="s">
        <v>5</v>
      </c>
      <c r="E13" s="7">
        <v>21</v>
      </c>
      <c r="F13" s="8">
        <v>4150000</v>
      </c>
      <c r="G13" s="5">
        <f t="shared" si="0"/>
        <v>43504</v>
      </c>
      <c r="H13" s="9" t="b">
        <v>0</v>
      </c>
    </row>
    <row r="14" spans="2:11" x14ac:dyDescent="0.25">
      <c r="B14" s="4">
        <v>9</v>
      </c>
      <c r="C14" s="5">
        <v>43484</v>
      </c>
      <c r="D14" s="6" t="s">
        <v>12</v>
      </c>
      <c r="E14" s="7">
        <v>14</v>
      </c>
      <c r="F14" s="8">
        <v>9500000</v>
      </c>
      <c r="G14" s="5">
        <f t="shared" si="0"/>
        <v>43498</v>
      </c>
      <c r="H14" s="9" t="b">
        <v>1</v>
      </c>
    </row>
    <row r="15" spans="2:11" x14ac:dyDescent="0.25">
      <c r="B15" s="4">
        <v>10</v>
      </c>
      <c r="C15" s="5">
        <v>43485</v>
      </c>
      <c r="D15" s="6" t="s">
        <v>13</v>
      </c>
      <c r="E15" s="7">
        <v>15</v>
      </c>
      <c r="F15" s="8">
        <v>4250000</v>
      </c>
      <c r="G15" s="5">
        <f t="shared" si="0"/>
        <v>43500</v>
      </c>
      <c r="H15" s="9" t="b">
        <v>0</v>
      </c>
    </row>
    <row r="16" spans="2:11" x14ac:dyDescent="0.25">
      <c r="B16" s="4">
        <v>11</v>
      </c>
      <c r="C16" s="5">
        <v>43486</v>
      </c>
      <c r="D16" s="6" t="s">
        <v>11</v>
      </c>
      <c r="E16" s="7">
        <v>7</v>
      </c>
      <c r="F16" s="8">
        <v>3250000</v>
      </c>
      <c r="G16" s="5">
        <f t="shared" si="0"/>
        <v>43493</v>
      </c>
      <c r="H16" s="9" t="b">
        <v>0</v>
      </c>
    </row>
    <row r="17" spans="2:8" x14ac:dyDescent="0.25">
      <c r="B17" s="4">
        <v>12</v>
      </c>
      <c r="C17" s="5">
        <v>43487</v>
      </c>
      <c r="D17" s="6" t="s">
        <v>12</v>
      </c>
      <c r="E17" s="7">
        <v>10</v>
      </c>
      <c r="F17" s="8">
        <v>12500000</v>
      </c>
      <c r="G17" s="5">
        <f t="shared" si="0"/>
        <v>43497</v>
      </c>
      <c r="H17" s="9" t="b">
        <v>0</v>
      </c>
    </row>
    <row r="18" spans="2:8" x14ac:dyDescent="0.25">
      <c r="B18" s="4">
        <v>13</v>
      </c>
      <c r="C18" s="5">
        <v>43487</v>
      </c>
      <c r="D18" s="6" t="s">
        <v>12</v>
      </c>
      <c r="E18" s="7">
        <v>15</v>
      </c>
      <c r="F18" s="8">
        <v>3750000</v>
      </c>
      <c r="G18" s="5">
        <f t="shared" si="0"/>
        <v>43502</v>
      </c>
      <c r="H18" s="9" t="b">
        <v>0</v>
      </c>
    </row>
    <row r="19" spans="2:8" x14ac:dyDescent="0.25">
      <c r="B19" s="4">
        <v>14</v>
      </c>
      <c r="C19" s="5">
        <v>43488</v>
      </c>
      <c r="D19" s="6" t="s">
        <v>13</v>
      </c>
      <c r="E19" s="7">
        <v>15</v>
      </c>
      <c r="F19" s="8">
        <v>2150000</v>
      </c>
      <c r="G19" s="5">
        <f t="shared" si="0"/>
        <v>43503</v>
      </c>
      <c r="H19" s="9" t="b">
        <v>0</v>
      </c>
    </row>
    <row r="20" spans="2:8" x14ac:dyDescent="0.25">
      <c r="B20" s="4">
        <v>15</v>
      </c>
      <c r="C20" s="5">
        <v>43488</v>
      </c>
      <c r="D20" s="6" t="s">
        <v>11</v>
      </c>
      <c r="E20" s="7">
        <v>21</v>
      </c>
      <c r="F20" s="8">
        <v>5000000</v>
      </c>
      <c r="G20" s="5">
        <f t="shared" si="0"/>
        <v>43509</v>
      </c>
      <c r="H20" s="9" t="b">
        <v>0</v>
      </c>
    </row>
    <row r="21" spans="2:8" x14ac:dyDescent="0.25">
      <c r="B21" s="11"/>
      <c r="C21" s="11"/>
      <c r="D21" s="11"/>
      <c r="E21" s="27" t="s">
        <v>2</v>
      </c>
      <c r="F21" s="10">
        <f>SUM(F6:F20)</f>
        <v>87650000</v>
      </c>
      <c r="G21" s="11"/>
      <c r="H21" s="11"/>
    </row>
    <row r="24" spans="2:8" ht="15" customHeight="1" x14ac:dyDescent="0.25"/>
    <row r="25" spans="2:8" ht="19.5" customHeight="1" x14ac:dyDescent="0.25"/>
  </sheetData>
  <mergeCells count="7">
    <mergeCell ref="H4:H5"/>
    <mergeCell ref="B4:B5"/>
    <mergeCell ref="C4:C5"/>
    <mergeCell ref="D4:D5"/>
    <mergeCell ref="E4:E5"/>
    <mergeCell ref="F4:F5"/>
    <mergeCell ref="G4:G5"/>
  </mergeCells>
  <dataValidations disablePrompts="1" count="1">
    <dataValidation type="list" allowBlank="1" showInputMessage="1" showErrorMessage="1" sqref="D6:D20">
      <formula1>$J$5:$J$8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3" name="Check Box 2">
              <controlPr defaultSize="0" autoFill="0" autoLine="0" autoPict="0">
                <anchor moveWithCells="1">
                  <from>
                    <xdr:col>7</xdr:col>
                    <xdr:colOff>161925</xdr:colOff>
                    <xdr:row>5</xdr:row>
                    <xdr:rowOff>0</xdr:rowOff>
                  </from>
                  <to>
                    <xdr:col>7</xdr:col>
                    <xdr:colOff>361950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4" name="Check Box 3">
              <controlPr defaultSize="0" autoFill="0" autoLine="0" autoPict="0">
                <anchor moveWithCells="1">
                  <from>
                    <xdr:col>7</xdr:col>
                    <xdr:colOff>161925</xdr:colOff>
                    <xdr:row>6</xdr:row>
                    <xdr:rowOff>0</xdr:rowOff>
                  </from>
                  <to>
                    <xdr:col>7</xdr:col>
                    <xdr:colOff>361950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defaultSize="0" autoFill="0" autoLine="0" autoPict="0">
                <anchor moveWithCells="1">
                  <from>
                    <xdr:col>7</xdr:col>
                    <xdr:colOff>161925</xdr:colOff>
                    <xdr:row>7</xdr:row>
                    <xdr:rowOff>0</xdr:rowOff>
                  </from>
                  <to>
                    <xdr:col>7</xdr:col>
                    <xdr:colOff>361950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" name="Check Box 5">
              <controlPr defaultSize="0" autoFill="0" autoLine="0" autoPict="0">
                <anchor moveWithCells="1">
                  <from>
                    <xdr:col>7</xdr:col>
                    <xdr:colOff>161925</xdr:colOff>
                    <xdr:row>8</xdr:row>
                    <xdr:rowOff>0</xdr:rowOff>
                  </from>
                  <to>
                    <xdr:col>7</xdr:col>
                    <xdr:colOff>361950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defaultSize="0" autoFill="0" autoLine="0" autoPict="0">
                <anchor moveWithCells="1">
                  <from>
                    <xdr:col>7</xdr:col>
                    <xdr:colOff>161925</xdr:colOff>
                    <xdr:row>9</xdr:row>
                    <xdr:rowOff>0</xdr:rowOff>
                  </from>
                  <to>
                    <xdr:col>7</xdr:col>
                    <xdr:colOff>361950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8" name="Check Box 7">
              <controlPr defaultSize="0" autoFill="0" autoLine="0" autoPict="0">
                <anchor moveWithCells="1">
                  <from>
                    <xdr:col>7</xdr:col>
                    <xdr:colOff>161925</xdr:colOff>
                    <xdr:row>10</xdr:row>
                    <xdr:rowOff>0</xdr:rowOff>
                  </from>
                  <to>
                    <xdr:col>7</xdr:col>
                    <xdr:colOff>361950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9" name="Check Box 8">
              <controlPr defaultSize="0" autoFill="0" autoLine="0" autoPict="0">
                <anchor moveWithCells="1">
                  <from>
                    <xdr:col>7</xdr:col>
                    <xdr:colOff>161925</xdr:colOff>
                    <xdr:row>11</xdr:row>
                    <xdr:rowOff>0</xdr:rowOff>
                  </from>
                  <to>
                    <xdr:col>7</xdr:col>
                    <xdr:colOff>361950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0" name="Check Box 9">
              <controlPr defaultSize="0" autoFill="0" autoLine="0" autoPict="0">
                <anchor moveWithCells="1">
                  <from>
                    <xdr:col>7</xdr:col>
                    <xdr:colOff>161925</xdr:colOff>
                    <xdr:row>12</xdr:row>
                    <xdr:rowOff>0</xdr:rowOff>
                  </from>
                  <to>
                    <xdr:col>7</xdr:col>
                    <xdr:colOff>361950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1" name="Check Box 10">
              <controlPr defaultSize="0" autoFill="0" autoLine="0" autoPict="0">
                <anchor moveWithCells="1">
                  <from>
                    <xdr:col>7</xdr:col>
                    <xdr:colOff>161925</xdr:colOff>
                    <xdr:row>13</xdr:row>
                    <xdr:rowOff>0</xdr:rowOff>
                  </from>
                  <to>
                    <xdr:col>7</xdr:col>
                    <xdr:colOff>361950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2" name="Check Box 11">
              <controlPr defaultSize="0" autoFill="0" autoLine="0" autoPict="0">
                <anchor moveWithCells="1">
                  <from>
                    <xdr:col>7</xdr:col>
                    <xdr:colOff>161925</xdr:colOff>
                    <xdr:row>14</xdr:row>
                    <xdr:rowOff>0</xdr:rowOff>
                  </from>
                  <to>
                    <xdr:col>7</xdr:col>
                    <xdr:colOff>361950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3" name="Check Box 12">
              <controlPr defaultSize="0" autoFill="0" autoLine="0" autoPict="0">
                <anchor moveWithCells="1">
                  <from>
                    <xdr:col>7</xdr:col>
                    <xdr:colOff>161925</xdr:colOff>
                    <xdr:row>15</xdr:row>
                    <xdr:rowOff>0</xdr:rowOff>
                  </from>
                  <to>
                    <xdr:col>7</xdr:col>
                    <xdr:colOff>361950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4" name="Check Box 13">
              <controlPr defaultSize="0" autoFill="0" autoLine="0" autoPict="0">
                <anchor moveWithCells="1">
                  <from>
                    <xdr:col>7</xdr:col>
                    <xdr:colOff>161925</xdr:colOff>
                    <xdr:row>16</xdr:row>
                    <xdr:rowOff>0</xdr:rowOff>
                  </from>
                  <to>
                    <xdr:col>7</xdr:col>
                    <xdr:colOff>361950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5" name="Check Box 14">
              <controlPr defaultSize="0" autoFill="0" autoLine="0" autoPict="0">
                <anchor moveWithCells="1">
                  <from>
                    <xdr:col>7</xdr:col>
                    <xdr:colOff>161925</xdr:colOff>
                    <xdr:row>17</xdr:row>
                    <xdr:rowOff>0</xdr:rowOff>
                  </from>
                  <to>
                    <xdr:col>7</xdr:col>
                    <xdr:colOff>361950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Check Box 15">
              <controlPr defaultSize="0" autoFill="0" autoLine="0" autoPict="0">
                <anchor moveWithCells="1">
                  <from>
                    <xdr:col>7</xdr:col>
                    <xdr:colOff>161925</xdr:colOff>
                    <xdr:row>18</xdr:row>
                    <xdr:rowOff>0</xdr:rowOff>
                  </from>
                  <to>
                    <xdr:col>7</xdr:col>
                    <xdr:colOff>361950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7" name="Check Box 16">
              <controlPr defaultSize="0" autoFill="0" autoLine="0" autoPict="0">
                <anchor moveWithCells="1">
                  <from>
                    <xdr:col>7</xdr:col>
                    <xdr:colOff>161925</xdr:colOff>
                    <xdr:row>19</xdr:row>
                    <xdr:rowOff>0</xdr:rowOff>
                  </from>
                  <to>
                    <xdr:col>7</xdr:col>
                    <xdr:colOff>361950</xdr:colOff>
                    <xdr:row>19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showGridLines="0" zoomScale="96" zoomScaleNormal="96" workbookViewId="0">
      <selection activeCell="AA31" sqref="AA31"/>
    </sheetView>
  </sheetViews>
  <sheetFormatPr defaultRowHeight="15" x14ac:dyDescent="0.25"/>
  <cols>
    <col min="1" max="1" width="5.85546875" style="1" customWidth="1"/>
    <col min="2" max="2" width="5.7109375" style="1" customWidth="1"/>
    <col min="3" max="3" width="11.5703125" style="1" customWidth="1"/>
    <col min="4" max="4" width="14.140625" style="1" customWidth="1"/>
    <col min="5" max="5" width="13.85546875" style="1" customWidth="1"/>
    <col min="6" max="6" width="11.28515625" style="1" customWidth="1"/>
    <col min="7" max="8" width="13.7109375" style="1" customWidth="1"/>
    <col min="9" max="9" width="8" style="1" customWidth="1"/>
    <col min="10" max="10" width="5.140625" style="1" customWidth="1"/>
    <col min="11" max="11" width="14.140625" style="1" customWidth="1"/>
    <col min="12" max="12" width="12.5703125" style="1" customWidth="1"/>
    <col min="13" max="15" width="9.140625" style="1"/>
    <col min="16" max="16" width="14" style="1" customWidth="1"/>
    <col min="17" max="17" width="5.85546875" style="1" customWidth="1"/>
    <col min="18" max="16384" width="9.140625" style="1"/>
  </cols>
  <sheetData>
    <row r="1" spans="1:12" ht="19.5" customHeight="1" x14ac:dyDescent="0.25"/>
    <row r="2" spans="1:12" ht="18.75" x14ac:dyDescent="0.25">
      <c r="B2" s="13" t="s">
        <v>6</v>
      </c>
    </row>
    <row r="3" spans="1:12" ht="15.75" x14ac:dyDescent="0.25">
      <c r="B3" s="21" t="s">
        <v>14</v>
      </c>
      <c r="E3" s="24"/>
    </row>
    <row r="4" spans="1:12" ht="16.5" customHeight="1" x14ac:dyDescent="0.25">
      <c r="A4" s="28">
        <v>0</v>
      </c>
      <c r="B4" s="162" t="s">
        <v>15</v>
      </c>
      <c r="C4" s="162"/>
      <c r="D4" s="162"/>
      <c r="E4" s="25">
        <f>A4+43470</f>
        <v>43470</v>
      </c>
      <c r="F4" s="23"/>
      <c r="G4" s="23"/>
      <c r="H4" s="23"/>
      <c r="I4" s="23"/>
    </row>
    <row r="5" spans="1:12" ht="15" customHeight="1" x14ac:dyDescent="0.25">
      <c r="B5" s="156" t="s">
        <v>0</v>
      </c>
      <c r="C5" s="158" t="s">
        <v>7</v>
      </c>
      <c r="D5" s="160" t="s">
        <v>4</v>
      </c>
      <c r="E5" s="158" t="s">
        <v>8</v>
      </c>
      <c r="F5" s="160" t="s">
        <v>2</v>
      </c>
      <c r="G5" s="158" t="s">
        <v>9</v>
      </c>
      <c r="H5" s="163" t="s">
        <v>16</v>
      </c>
      <c r="I5" s="156" t="s">
        <v>10</v>
      </c>
      <c r="K5" s="3" t="s">
        <v>4</v>
      </c>
      <c r="L5" s="14" t="s">
        <v>3</v>
      </c>
    </row>
    <row r="6" spans="1:12" ht="15" customHeight="1" x14ac:dyDescent="0.25">
      <c r="B6" s="157"/>
      <c r="C6" s="159"/>
      <c r="D6" s="161"/>
      <c r="E6" s="159"/>
      <c r="F6" s="161"/>
      <c r="G6" s="159"/>
      <c r="H6" s="159"/>
      <c r="I6" s="157"/>
      <c r="K6" s="18" t="s">
        <v>11</v>
      </c>
      <c r="L6" s="16">
        <f>SUMIFS(F$7:F$21,D$7:D$21,K6,I$7:I$21,FALSE)</f>
        <v>8250000</v>
      </c>
    </row>
    <row r="7" spans="1:12" x14ac:dyDescent="0.25">
      <c r="B7" s="4">
        <v>1</v>
      </c>
      <c r="C7" s="5">
        <v>43467</v>
      </c>
      <c r="D7" s="6" t="s">
        <v>11</v>
      </c>
      <c r="E7" s="7">
        <v>10</v>
      </c>
      <c r="F7" s="8">
        <v>4750000</v>
      </c>
      <c r="G7" s="5">
        <f>C7+E7</f>
        <v>43477</v>
      </c>
      <c r="H7" s="26" t="str">
        <f>IF(I7=TRUE,"",G7-E$4)</f>
        <v/>
      </c>
      <c r="I7" s="9" t="b">
        <v>1</v>
      </c>
      <c r="K7" s="19" t="s">
        <v>5</v>
      </c>
      <c r="L7" s="15">
        <f>SUMIFS(F$7:F$21,D$7:D$21,K7,I$7:I$21,FALSE)</f>
        <v>12000000</v>
      </c>
    </row>
    <row r="8" spans="1:12" x14ac:dyDescent="0.25">
      <c r="B8" s="4">
        <v>2</v>
      </c>
      <c r="C8" s="5">
        <v>43471</v>
      </c>
      <c r="D8" s="6" t="s">
        <v>5</v>
      </c>
      <c r="E8" s="7">
        <v>20</v>
      </c>
      <c r="F8" s="8">
        <v>5500000</v>
      </c>
      <c r="G8" s="5">
        <f t="shared" ref="G8:G21" si="0">C8+E8</f>
        <v>43491</v>
      </c>
      <c r="H8" s="26">
        <f t="shared" ref="H8:H21" si="1">IF(I8=TRUE,"",G8-E$4)</f>
        <v>21</v>
      </c>
      <c r="I8" s="9" t="b">
        <v>0</v>
      </c>
      <c r="K8" s="19" t="s">
        <v>12</v>
      </c>
      <c r="L8" s="15">
        <f>SUMIFS(F$7:F$21,D$7:D$21,K8,I$7:I$21,FALSE)</f>
        <v>25750000</v>
      </c>
    </row>
    <row r="9" spans="1:12" x14ac:dyDescent="0.25">
      <c r="B9" s="4">
        <v>3</v>
      </c>
      <c r="C9" s="5">
        <v>43473</v>
      </c>
      <c r="D9" s="6" t="s">
        <v>13</v>
      </c>
      <c r="E9" s="7">
        <v>14</v>
      </c>
      <c r="F9" s="8">
        <v>12500000</v>
      </c>
      <c r="G9" s="5">
        <f t="shared" si="0"/>
        <v>43487</v>
      </c>
      <c r="H9" s="26" t="str">
        <f t="shared" si="1"/>
        <v/>
      </c>
      <c r="I9" s="9" t="b">
        <v>1</v>
      </c>
      <c r="K9" s="20" t="s">
        <v>13</v>
      </c>
      <c r="L9" s="17">
        <f>SUMIFS(F$7:F$21,D$7:D$21,K9,I$7:I$21,FALSE)</f>
        <v>7650000</v>
      </c>
    </row>
    <row r="10" spans="1:12" x14ac:dyDescent="0.25">
      <c r="B10" s="4">
        <v>4</v>
      </c>
      <c r="C10" s="5">
        <v>43477</v>
      </c>
      <c r="D10" s="6" t="s">
        <v>12</v>
      </c>
      <c r="E10" s="7">
        <v>5</v>
      </c>
      <c r="F10" s="8">
        <v>9250000</v>
      </c>
      <c r="G10" s="5">
        <f t="shared" si="0"/>
        <v>43482</v>
      </c>
      <c r="H10" s="26" t="str">
        <f t="shared" si="1"/>
        <v/>
      </c>
      <c r="I10" s="9" t="b">
        <v>1</v>
      </c>
      <c r="K10" s="2" t="s">
        <v>2</v>
      </c>
      <c r="L10" s="22">
        <f>SUM(L6:L9)</f>
        <v>53650000</v>
      </c>
    </row>
    <row r="11" spans="1:12" x14ac:dyDescent="0.25">
      <c r="B11" s="4">
        <v>5</v>
      </c>
      <c r="C11" s="5">
        <v>43479</v>
      </c>
      <c r="D11" s="6" t="s">
        <v>11</v>
      </c>
      <c r="E11" s="7">
        <v>10</v>
      </c>
      <c r="F11" s="8">
        <v>7500000</v>
      </c>
      <c r="G11" s="5">
        <f t="shared" si="0"/>
        <v>43489</v>
      </c>
      <c r="H11" s="26" t="str">
        <f t="shared" si="1"/>
        <v/>
      </c>
      <c r="I11" s="9" t="b">
        <v>1</v>
      </c>
    </row>
    <row r="12" spans="1:12" x14ac:dyDescent="0.25">
      <c r="B12" s="4">
        <v>6</v>
      </c>
      <c r="C12" s="5">
        <v>43479</v>
      </c>
      <c r="D12" s="6" t="s">
        <v>13</v>
      </c>
      <c r="E12" s="7">
        <v>21</v>
      </c>
      <c r="F12" s="8">
        <v>1250000</v>
      </c>
      <c r="G12" s="5">
        <f t="shared" si="0"/>
        <v>43500</v>
      </c>
      <c r="H12" s="26">
        <f t="shared" si="1"/>
        <v>30</v>
      </c>
      <c r="I12" s="9" t="b">
        <v>0</v>
      </c>
    </row>
    <row r="13" spans="1:12" x14ac:dyDescent="0.25">
      <c r="B13" s="4">
        <v>7</v>
      </c>
      <c r="C13" s="5">
        <v>43482</v>
      </c>
      <c r="D13" s="6" t="s">
        <v>5</v>
      </c>
      <c r="E13" s="7">
        <v>15</v>
      </c>
      <c r="F13" s="8">
        <v>2350000</v>
      </c>
      <c r="G13" s="5">
        <f t="shared" si="0"/>
        <v>43497</v>
      </c>
      <c r="H13" s="26">
        <f t="shared" si="1"/>
        <v>27</v>
      </c>
      <c r="I13" s="9" t="b">
        <v>0</v>
      </c>
    </row>
    <row r="14" spans="1:12" x14ac:dyDescent="0.25">
      <c r="B14" s="4">
        <v>8</v>
      </c>
      <c r="C14" s="5">
        <v>43483</v>
      </c>
      <c r="D14" s="6" t="s">
        <v>5</v>
      </c>
      <c r="E14" s="7">
        <v>21</v>
      </c>
      <c r="F14" s="8">
        <v>4150000</v>
      </c>
      <c r="G14" s="5">
        <f t="shared" si="0"/>
        <v>43504</v>
      </c>
      <c r="H14" s="26">
        <f t="shared" si="1"/>
        <v>34</v>
      </c>
      <c r="I14" s="9" t="b">
        <v>0</v>
      </c>
    </row>
    <row r="15" spans="1:12" x14ac:dyDescent="0.25">
      <c r="B15" s="4">
        <v>9</v>
      </c>
      <c r="C15" s="5">
        <v>43484</v>
      </c>
      <c r="D15" s="6" t="s">
        <v>12</v>
      </c>
      <c r="E15" s="7">
        <v>14</v>
      </c>
      <c r="F15" s="8">
        <v>9500000</v>
      </c>
      <c r="G15" s="5">
        <f t="shared" si="0"/>
        <v>43498</v>
      </c>
      <c r="H15" s="26">
        <f t="shared" si="1"/>
        <v>28</v>
      </c>
      <c r="I15" s="9" t="b">
        <v>0</v>
      </c>
    </row>
    <row r="16" spans="1:12" x14ac:dyDescent="0.25">
      <c r="B16" s="4">
        <v>10</v>
      </c>
      <c r="C16" s="5">
        <v>43485</v>
      </c>
      <c r="D16" s="6" t="s">
        <v>13</v>
      </c>
      <c r="E16" s="7">
        <v>15</v>
      </c>
      <c r="F16" s="8">
        <v>4250000</v>
      </c>
      <c r="G16" s="5">
        <f t="shared" si="0"/>
        <v>43500</v>
      </c>
      <c r="H16" s="26">
        <f t="shared" si="1"/>
        <v>30</v>
      </c>
      <c r="I16" s="9" t="b">
        <v>0</v>
      </c>
    </row>
    <row r="17" spans="2:9" x14ac:dyDescent="0.25">
      <c r="B17" s="4">
        <v>11</v>
      </c>
      <c r="C17" s="5">
        <v>43486</v>
      </c>
      <c r="D17" s="6" t="s">
        <v>11</v>
      </c>
      <c r="E17" s="7">
        <v>7</v>
      </c>
      <c r="F17" s="8">
        <v>3250000</v>
      </c>
      <c r="G17" s="5">
        <f t="shared" si="0"/>
        <v>43493</v>
      </c>
      <c r="H17" s="26">
        <f t="shared" si="1"/>
        <v>23</v>
      </c>
      <c r="I17" s="9" t="b">
        <v>0</v>
      </c>
    </row>
    <row r="18" spans="2:9" x14ac:dyDescent="0.25">
      <c r="B18" s="4">
        <v>12</v>
      </c>
      <c r="C18" s="5">
        <v>43487</v>
      </c>
      <c r="D18" s="6" t="s">
        <v>12</v>
      </c>
      <c r="E18" s="7">
        <v>10</v>
      </c>
      <c r="F18" s="8">
        <v>12500000</v>
      </c>
      <c r="G18" s="5">
        <f t="shared" si="0"/>
        <v>43497</v>
      </c>
      <c r="H18" s="26">
        <f t="shared" si="1"/>
        <v>27</v>
      </c>
      <c r="I18" s="9" t="b">
        <v>0</v>
      </c>
    </row>
    <row r="19" spans="2:9" x14ac:dyDescent="0.25">
      <c r="B19" s="4">
        <v>13</v>
      </c>
      <c r="C19" s="5">
        <v>43487</v>
      </c>
      <c r="D19" s="6" t="s">
        <v>12</v>
      </c>
      <c r="E19" s="7">
        <v>15</v>
      </c>
      <c r="F19" s="8">
        <v>3750000</v>
      </c>
      <c r="G19" s="5">
        <f t="shared" si="0"/>
        <v>43502</v>
      </c>
      <c r="H19" s="26">
        <f t="shared" si="1"/>
        <v>32</v>
      </c>
      <c r="I19" s="9" t="b">
        <v>0</v>
      </c>
    </row>
    <row r="20" spans="2:9" x14ac:dyDescent="0.25">
      <c r="B20" s="4">
        <v>14</v>
      </c>
      <c r="C20" s="5">
        <v>43488</v>
      </c>
      <c r="D20" s="6" t="s">
        <v>13</v>
      </c>
      <c r="E20" s="7">
        <v>15</v>
      </c>
      <c r="F20" s="8">
        <v>2150000</v>
      </c>
      <c r="G20" s="5">
        <f t="shared" si="0"/>
        <v>43503</v>
      </c>
      <c r="H20" s="26">
        <f t="shared" si="1"/>
        <v>33</v>
      </c>
      <c r="I20" s="9" t="b">
        <v>0</v>
      </c>
    </row>
    <row r="21" spans="2:9" x14ac:dyDescent="0.25">
      <c r="B21" s="4">
        <v>15</v>
      </c>
      <c r="C21" s="5">
        <v>43488</v>
      </c>
      <c r="D21" s="6" t="s">
        <v>11</v>
      </c>
      <c r="E21" s="7">
        <v>21</v>
      </c>
      <c r="F21" s="8">
        <v>5000000</v>
      </c>
      <c r="G21" s="5">
        <f t="shared" si="0"/>
        <v>43509</v>
      </c>
      <c r="H21" s="26">
        <f t="shared" si="1"/>
        <v>39</v>
      </c>
      <c r="I21" s="9" t="b">
        <v>0</v>
      </c>
    </row>
    <row r="22" spans="2:9" x14ac:dyDescent="0.25">
      <c r="B22" s="11"/>
      <c r="C22" s="11"/>
      <c r="D22" s="11"/>
      <c r="E22" s="12" t="s">
        <v>2</v>
      </c>
      <c r="F22" s="10">
        <f>SUM(F7:F21)</f>
        <v>87650000</v>
      </c>
      <c r="G22" s="11"/>
      <c r="H22" s="11"/>
      <c r="I22" s="11"/>
    </row>
    <row r="26" spans="2:9" ht="15" customHeight="1" x14ac:dyDescent="0.25"/>
    <row r="27" spans="2:9" ht="19.5" customHeight="1" x14ac:dyDescent="0.25"/>
  </sheetData>
  <mergeCells count="9">
    <mergeCell ref="I5:I6"/>
    <mergeCell ref="B4:D4"/>
    <mergeCell ref="H5:H6"/>
    <mergeCell ref="B5:B6"/>
    <mergeCell ref="C5:C6"/>
    <mergeCell ref="D5:D6"/>
    <mergeCell ref="E5:E6"/>
    <mergeCell ref="F5:F6"/>
    <mergeCell ref="G5:G6"/>
  </mergeCells>
  <dataValidations count="1">
    <dataValidation type="list" allowBlank="1" showInputMessage="1" showErrorMessage="1" sqref="D7:D21">
      <formula1>$K$6:$K$9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8</xdr:col>
                    <xdr:colOff>161925</xdr:colOff>
                    <xdr:row>5</xdr:row>
                    <xdr:rowOff>180975</xdr:rowOff>
                  </from>
                  <to>
                    <xdr:col>8</xdr:col>
                    <xdr:colOff>361950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8</xdr:col>
                    <xdr:colOff>161925</xdr:colOff>
                    <xdr:row>7</xdr:row>
                    <xdr:rowOff>0</xdr:rowOff>
                  </from>
                  <to>
                    <xdr:col>8</xdr:col>
                    <xdr:colOff>361950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8</xdr:col>
                    <xdr:colOff>161925</xdr:colOff>
                    <xdr:row>8</xdr:row>
                    <xdr:rowOff>0</xdr:rowOff>
                  </from>
                  <to>
                    <xdr:col>8</xdr:col>
                    <xdr:colOff>361950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8</xdr:col>
                    <xdr:colOff>161925</xdr:colOff>
                    <xdr:row>9</xdr:row>
                    <xdr:rowOff>0</xdr:rowOff>
                  </from>
                  <to>
                    <xdr:col>8</xdr:col>
                    <xdr:colOff>361950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8</xdr:col>
                    <xdr:colOff>161925</xdr:colOff>
                    <xdr:row>10</xdr:row>
                    <xdr:rowOff>0</xdr:rowOff>
                  </from>
                  <to>
                    <xdr:col>8</xdr:col>
                    <xdr:colOff>361950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defaultSize="0" autoFill="0" autoLine="0" autoPict="0">
                <anchor moveWithCells="1">
                  <from>
                    <xdr:col>8</xdr:col>
                    <xdr:colOff>161925</xdr:colOff>
                    <xdr:row>11</xdr:row>
                    <xdr:rowOff>0</xdr:rowOff>
                  </from>
                  <to>
                    <xdr:col>8</xdr:col>
                    <xdr:colOff>361950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Check Box 7">
              <controlPr defaultSize="0" autoFill="0" autoLine="0" autoPict="0">
                <anchor moveWithCells="1">
                  <from>
                    <xdr:col>8</xdr:col>
                    <xdr:colOff>161925</xdr:colOff>
                    <xdr:row>12</xdr:row>
                    <xdr:rowOff>0</xdr:rowOff>
                  </from>
                  <to>
                    <xdr:col>8</xdr:col>
                    <xdr:colOff>361950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Check Box 8">
              <controlPr defaultSize="0" autoFill="0" autoLine="0" autoPict="0">
                <anchor moveWithCells="1">
                  <from>
                    <xdr:col>8</xdr:col>
                    <xdr:colOff>161925</xdr:colOff>
                    <xdr:row>13</xdr:row>
                    <xdr:rowOff>0</xdr:rowOff>
                  </from>
                  <to>
                    <xdr:col>8</xdr:col>
                    <xdr:colOff>361950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1" name="Check Box 9">
              <controlPr defaultSize="0" autoFill="0" autoLine="0" autoPict="0">
                <anchor moveWithCells="1">
                  <from>
                    <xdr:col>8</xdr:col>
                    <xdr:colOff>161925</xdr:colOff>
                    <xdr:row>14</xdr:row>
                    <xdr:rowOff>0</xdr:rowOff>
                  </from>
                  <to>
                    <xdr:col>8</xdr:col>
                    <xdr:colOff>361950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2" name="Check Box 10">
              <controlPr defaultSize="0" autoFill="0" autoLine="0" autoPict="0">
                <anchor moveWithCells="1">
                  <from>
                    <xdr:col>8</xdr:col>
                    <xdr:colOff>161925</xdr:colOff>
                    <xdr:row>15</xdr:row>
                    <xdr:rowOff>0</xdr:rowOff>
                  </from>
                  <to>
                    <xdr:col>8</xdr:col>
                    <xdr:colOff>361950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Check Box 11">
              <controlPr defaultSize="0" autoFill="0" autoLine="0" autoPict="0">
                <anchor moveWithCells="1">
                  <from>
                    <xdr:col>8</xdr:col>
                    <xdr:colOff>161925</xdr:colOff>
                    <xdr:row>16</xdr:row>
                    <xdr:rowOff>0</xdr:rowOff>
                  </from>
                  <to>
                    <xdr:col>8</xdr:col>
                    <xdr:colOff>361950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4" name="Check Box 12">
              <controlPr defaultSize="0" autoFill="0" autoLine="0" autoPict="0">
                <anchor moveWithCells="1">
                  <from>
                    <xdr:col>8</xdr:col>
                    <xdr:colOff>161925</xdr:colOff>
                    <xdr:row>17</xdr:row>
                    <xdr:rowOff>0</xdr:rowOff>
                  </from>
                  <to>
                    <xdr:col>8</xdr:col>
                    <xdr:colOff>361950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5" name="Check Box 13">
              <controlPr defaultSize="0" autoFill="0" autoLine="0" autoPict="0">
                <anchor moveWithCells="1">
                  <from>
                    <xdr:col>8</xdr:col>
                    <xdr:colOff>161925</xdr:colOff>
                    <xdr:row>18</xdr:row>
                    <xdr:rowOff>0</xdr:rowOff>
                  </from>
                  <to>
                    <xdr:col>8</xdr:col>
                    <xdr:colOff>361950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6" name="Check Box 14">
              <controlPr defaultSize="0" autoFill="0" autoLine="0" autoPict="0">
                <anchor moveWithCells="1">
                  <from>
                    <xdr:col>8</xdr:col>
                    <xdr:colOff>161925</xdr:colOff>
                    <xdr:row>19</xdr:row>
                    <xdr:rowOff>0</xdr:rowOff>
                  </from>
                  <to>
                    <xdr:col>8</xdr:col>
                    <xdr:colOff>361950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7" name="Check Box 15">
              <controlPr defaultSize="0" autoFill="0" autoLine="0" autoPict="0">
                <anchor moveWithCells="1">
                  <from>
                    <xdr:col>8</xdr:col>
                    <xdr:colOff>161925</xdr:colOff>
                    <xdr:row>20</xdr:row>
                    <xdr:rowOff>0</xdr:rowOff>
                  </from>
                  <to>
                    <xdr:col>8</xdr:col>
                    <xdr:colOff>361950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8" name="Scroll Bar 16">
              <controlPr defaultSize="0" autoPict="0">
                <anchor moveWithCells="1">
                  <from>
                    <xdr:col>3</xdr:col>
                    <xdr:colOff>161925</xdr:colOff>
                    <xdr:row>3</xdr:row>
                    <xdr:rowOff>19050</xdr:rowOff>
                  </from>
                  <to>
                    <xdr:col>3</xdr:col>
                    <xdr:colOff>647700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"/>
  <sheetViews>
    <sheetView showGridLines="0" workbookViewId="0">
      <selection activeCell="F7" sqref="F7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6" width="13.28515625" style="30" customWidth="1"/>
    <col min="7" max="7" width="8.28515625" style="30" customWidth="1"/>
    <col min="8" max="12" width="13.28515625" style="30" customWidth="1"/>
    <col min="13" max="13" width="5.85546875" style="30" customWidth="1"/>
    <col min="14" max="16384" width="9.140625" style="30"/>
  </cols>
  <sheetData>
    <row r="1" spans="1:13" ht="19.5" customHeight="1" x14ac:dyDescent="0.25">
      <c r="C1" s="29"/>
      <c r="D1" s="29"/>
    </row>
    <row r="2" spans="1:13" ht="18.75" customHeight="1" x14ac:dyDescent="0.25">
      <c r="B2" s="31" t="s">
        <v>17</v>
      </c>
      <c r="D2" s="29"/>
      <c r="E2" s="32"/>
      <c r="F2" s="32"/>
      <c r="G2" s="32"/>
    </row>
    <row r="3" spans="1:13" ht="16.5" customHeight="1" x14ac:dyDescent="0.25">
      <c r="A3" s="153">
        <v>25</v>
      </c>
      <c r="B3" s="35" t="s">
        <v>23</v>
      </c>
      <c r="C3" s="36"/>
      <c r="D3" s="37"/>
      <c r="E3" s="98">
        <f>A3+43434</f>
        <v>43459</v>
      </c>
      <c r="F3" s="129"/>
      <c r="G3" s="129"/>
      <c r="H3" s="33"/>
      <c r="I3" s="33"/>
      <c r="J3" s="33"/>
      <c r="K3" s="33"/>
      <c r="L3" s="33"/>
    </row>
    <row r="4" spans="1:13" ht="16.5" customHeight="1" x14ac:dyDescent="0.25">
      <c r="B4" s="35" t="s">
        <v>24</v>
      </c>
      <c r="C4" s="36"/>
      <c r="D4" s="86"/>
      <c r="E4" s="87">
        <v>30</v>
      </c>
      <c r="F4" s="88" t="str">
        <f>"&lt;&lt; "&amp;E4&amp;" hari setelah tanggal transaksi"</f>
        <v>&lt;&lt; 30 hari setelah tanggal transaksi</v>
      </c>
      <c r="G4" s="88"/>
      <c r="I4" s="33"/>
      <c r="J4" s="33"/>
      <c r="K4" s="33"/>
      <c r="L4" s="33"/>
    </row>
    <row r="5" spans="1:13" ht="15" customHeight="1" x14ac:dyDescent="0.25">
      <c r="B5" s="164" t="s">
        <v>31</v>
      </c>
      <c r="C5" s="151" t="s">
        <v>25</v>
      </c>
      <c r="D5" s="166" t="s">
        <v>27</v>
      </c>
      <c r="E5" s="166" t="s">
        <v>28</v>
      </c>
      <c r="F5" s="166" t="s">
        <v>70</v>
      </c>
      <c r="G5" s="166" t="s">
        <v>51</v>
      </c>
      <c r="H5" s="89" t="s">
        <v>29</v>
      </c>
      <c r="I5" s="168" t="s">
        <v>30</v>
      </c>
      <c r="J5" s="169"/>
      <c r="K5" s="169"/>
      <c r="L5" s="169"/>
    </row>
    <row r="6" spans="1:13" ht="15" customHeight="1" x14ac:dyDescent="0.25">
      <c r="B6" s="165"/>
      <c r="C6" s="152" t="s">
        <v>26</v>
      </c>
      <c r="D6" s="167"/>
      <c r="E6" s="167"/>
      <c r="F6" s="167"/>
      <c r="G6" s="167"/>
      <c r="H6" s="91" t="s">
        <v>9</v>
      </c>
      <c r="I6" s="92" t="s">
        <v>18</v>
      </c>
      <c r="J6" s="93" t="s">
        <v>19</v>
      </c>
      <c r="K6" s="93" t="s">
        <v>20</v>
      </c>
      <c r="L6" s="94" t="s">
        <v>21</v>
      </c>
    </row>
    <row r="7" spans="1:13" ht="15" customHeight="1" x14ac:dyDescent="0.25">
      <c r="B7" s="57">
        <v>1</v>
      </c>
      <c r="C7" s="82" t="s">
        <v>35</v>
      </c>
      <c r="D7" s="63">
        <v>7500000</v>
      </c>
      <c r="E7" s="120">
        <v>43449</v>
      </c>
      <c r="F7" s="120">
        <f>E7+E$4</f>
        <v>43479</v>
      </c>
      <c r="G7" s="95">
        <f>IF(F7&gt;E$3,0,E$3-F7)</f>
        <v>0</v>
      </c>
      <c r="H7" s="66">
        <f>IF(G7&lt;1,D7,0)</f>
        <v>7500000</v>
      </c>
      <c r="I7" s="67">
        <f>IF(AND(G7&gt;0,G7&lt;31),D7,0)</f>
        <v>0</v>
      </c>
      <c r="J7" s="66" t="s">
        <v>71</v>
      </c>
      <c r="K7" s="67">
        <f>IF(AND(G7&gt;60,G7&lt;91),D7,0)</f>
        <v>0</v>
      </c>
      <c r="L7" s="59">
        <f>IF(G7&gt;90,D7,0)</f>
        <v>0</v>
      </c>
    </row>
    <row r="8" spans="1:13" ht="15" customHeight="1" x14ac:dyDescent="0.25">
      <c r="B8" s="39">
        <v>2</v>
      </c>
      <c r="C8" s="83" t="s">
        <v>36</v>
      </c>
      <c r="D8" s="64">
        <v>9850000</v>
      </c>
      <c r="E8" s="121">
        <v>43441</v>
      </c>
      <c r="F8" s="121">
        <f t="shared" ref="F8:F21" si="0">E8+E$4</f>
        <v>43471</v>
      </c>
      <c r="G8" s="96">
        <f t="shared" ref="G8:G21" si="1">IF(F8&gt;E$3,0,E$3-F8)</f>
        <v>0</v>
      </c>
      <c r="H8" s="68">
        <f t="shared" ref="H8:H21" si="2">IF(G8&lt;1,D8,0)</f>
        <v>9850000</v>
      </c>
      <c r="I8" s="69">
        <f t="shared" ref="I8:I21" si="3">IF(AND(G8&gt;0,G8&lt;31),D8,0)</f>
        <v>0</v>
      </c>
      <c r="J8" s="68">
        <f t="shared" ref="J8:J21" si="4">IF(AND(G8&gt;30,G8&lt;61),D8,0)</f>
        <v>0</v>
      </c>
      <c r="K8" s="69">
        <f t="shared" ref="K8:K21" si="5">IF(AND(G8&gt;60,G8&lt;91),D8,0)</f>
        <v>0</v>
      </c>
      <c r="L8" s="38">
        <f t="shared" ref="L8:L21" si="6">IF(G8&gt;90,D8,0)</f>
        <v>0</v>
      </c>
    </row>
    <row r="9" spans="1:13" ht="15" customHeight="1" x14ac:dyDescent="0.25">
      <c r="B9" s="39">
        <v>3</v>
      </c>
      <c r="C9" s="83" t="s">
        <v>37</v>
      </c>
      <c r="D9" s="64">
        <v>3250000</v>
      </c>
      <c r="E9" s="121">
        <v>43431</v>
      </c>
      <c r="F9" s="121">
        <f t="shared" si="0"/>
        <v>43461</v>
      </c>
      <c r="G9" s="96">
        <f t="shared" si="1"/>
        <v>0</v>
      </c>
      <c r="H9" s="68">
        <f t="shared" si="2"/>
        <v>3250000</v>
      </c>
      <c r="I9" s="69">
        <f t="shared" si="3"/>
        <v>0</v>
      </c>
      <c r="J9" s="68">
        <f t="shared" si="4"/>
        <v>0</v>
      </c>
      <c r="K9" s="69">
        <f t="shared" si="5"/>
        <v>0</v>
      </c>
      <c r="L9" s="38">
        <f t="shared" si="6"/>
        <v>0</v>
      </c>
    </row>
    <row r="10" spans="1:13" ht="15" customHeight="1" x14ac:dyDescent="0.25">
      <c r="B10" s="39">
        <v>4</v>
      </c>
      <c r="C10" s="83" t="s">
        <v>38</v>
      </c>
      <c r="D10" s="64">
        <v>1575000</v>
      </c>
      <c r="E10" s="121">
        <v>43411</v>
      </c>
      <c r="F10" s="121">
        <f t="shared" si="0"/>
        <v>43441</v>
      </c>
      <c r="G10" s="96">
        <f t="shared" si="1"/>
        <v>18</v>
      </c>
      <c r="H10" s="68">
        <f t="shared" si="2"/>
        <v>0</v>
      </c>
      <c r="I10" s="69">
        <f t="shared" si="3"/>
        <v>1575000</v>
      </c>
      <c r="J10" s="68">
        <f t="shared" si="4"/>
        <v>0</v>
      </c>
      <c r="K10" s="69">
        <f t="shared" si="5"/>
        <v>0</v>
      </c>
      <c r="L10" s="38">
        <f t="shared" si="6"/>
        <v>0</v>
      </c>
      <c r="M10" s="30" t="s">
        <v>22</v>
      </c>
    </row>
    <row r="11" spans="1:13" ht="15" customHeight="1" x14ac:dyDescent="0.25">
      <c r="B11" s="39">
        <v>5</v>
      </c>
      <c r="C11" s="83" t="s">
        <v>39</v>
      </c>
      <c r="D11" s="64">
        <v>1000000</v>
      </c>
      <c r="E11" s="121">
        <v>43403</v>
      </c>
      <c r="F11" s="121">
        <f t="shared" si="0"/>
        <v>43433</v>
      </c>
      <c r="G11" s="96">
        <f t="shared" si="1"/>
        <v>26</v>
      </c>
      <c r="H11" s="68">
        <f t="shared" si="2"/>
        <v>0</v>
      </c>
      <c r="I11" s="69">
        <f t="shared" si="3"/>
        <v>1000000</v>
      </c>
      <c r="J11" s="68">
        <f t="shared" si="4"/>
        <v>0</v>
      </c>
      <c r="K11" s="69">
        <f t="shared" si="5"/>
        <v>0</v>
      </c>
      <c r="L11" s="38">
        <f t="shared" si="6"/>
        <v>0</v>
      </c>
    </row>
    <row r="12" spans="1:13" ht="15" customHeight="1" x14ac:dyDescent="0.25">
      <c r="B12" s="39">
        <v>6</v>
      </c>
      <c r="C12" s="83" t="s">
        <v>40</v>
      </c>
      <c r="D12" s="64">
        <v>12500000</v>
      </c>
      <c r="E12" s="121">
        <v>43388</v>
      </c>
      <c r="F12" s="121">
        <f t="shared" si="0"/>
        <v>43418</v>
      </c>
      <c r="G12" s="96">
        <f t="shared" ref="G12:G16" si="7">IF(F12&gt;E$3,0,E$3-F12)</f>
        <v>41</v>
      </c>
      <c r="H12" s="68">
        <f t="shared" ref="H12:H16" si="8">IF(G12&lt;1,D12,0)</f>
        <v>0</v>
      </c>
      <c r="I12" s="69">
        <f t="shared" ref="I12:I16" si="9">IF(AND(G12&gt;0,G12&lt;31),D12,0)</f>
        <v>0</v>
      </c>
      <c r="J12" s="68">
        <f t="shared" ref="J12:J16" si="10">IF(AND(G12&gt;30,G12&lt;61),D12,0)</f>
        <v>12500000</v>
      </c>
      <c r="K12" s="69">
        <f t="shared" ref="K12:K16" si="11">IF(AND(G12&gt;60,G12&lt;91),D12,0)</f>
        <v>0</v>
      </c>
      <c r="L12" s="38">
        <f t="shared" ref="L12:L16" si="12">IF(G12&gt;90,D12,0)</f>
        <v>0</v>
      </c>
    </row>
    <row r="13" spans="1:13" ht="15" customHeight="1" x14ac:dyDescent="0.25">
      <c r="B13" s="39">
        <v>7</v>
      </c>
      <c r="C13" s="83" t="s">
        <v>41</v>
      </c>
      <c r="D13" s="64">
        <v>2500000</v>
      </c>
      <c r="E13" s="121">
        <v>43385</v>
      </c>
      <c r="F13" s="121">
        <f t="shared" si="0"/>
        <v>43415</v>
      </c>
      <c r="G13" s="96">
        <f t="shared" si="7"/>
        <v>44</v>
      </c>
      <c r="H13" s="68">
        <f t="shared" si="8"/>
        <v>0</v>
      </c>
      <c r="I13" s="69">
        <f t="shared" si="9"/>
        <v>0</v>
      </c>
      <c r="J13" s="68">
        <f t="shared" si="10"/>
        <v>2500000</v>
      </c>
      <c r="K13" s="69">
        <f t="shared" si="11"/>
        <v>0</v>
      </c>
      <c r="L13" s="38">
        <f t="shared" si="12"/>
        <v>0</v>
      </c>
    </row>
    <row r="14" spans="1:13" ht="15" customHeight="1" x14ac:dyDescent="0.25">
      <c r="B14" s="39">
        <v>8</v>
      </c>
      <c r="C14" s="83" t="s">
        <v>42</v>
      </c>
      <c r="D14" s="64">
        <v>1750000</v>
      </c>
      <c r="E14" s="121">
        <v>43366</v>
      </c>
      <c r="F14" s="121">
        <f t="shared" si="0"/>
        <v>43396</v>
      </c>
      <c r="G14" s="96">
        <f t="shared" si="7"/>
        <v>63</v>
      </c>
      <c r="H14" s="68">
        <f t="shared" si="8"/>
        <v>0</v>
      </c>
      <c r="I14" s="69">
        <f t="shared" si="9"/>
        <v>0</v>
      </c>
      <c r="J14" s="68">
        <f t="shared" si="10"/>
        <v>0</v>
      </c>
      <c r="K14" s="69">
        <f t="shared" si="11"/>
        <v>1750000</v>
      </c>
      <c r="L14" s="38">
        <f t="shared" si="12"/>
        <v>0</v>
      </c>
    </row>
    <row r="15" spans="1:13" ht="15" customHeight="1" x14ac:dyDescent="0.25">
      <c r="B15" s="39">
        <v>9</v>
      </c>
      <c r="C15" s="83" t="s">
        <v>43</v>
      </c>
      <c r="D15" s="64">
        <v>2250000</v>
      </c>
      <c r="E15" s="121">
        <v>43357</v>
      </c>
      <c r="F15" s="121">
        <f t="shared" si="0"/>
        <v>43387</v>
      </c>
      <c r="G15" s="96">
        <f t="shared" si="7"/>
        <v>72</v>
      </c>
      <c r="H15" s="68">
        <f t="shared" si="8"/>
        <v>0</v>
      </c>
      <c r="I15" s="69">
        <f t="shared" si="9"/>
        <v>0</v>
      </c>
      <c r="J15" s="68">
        <f t="shared" si="10"/>
        <v>0</v>
      </c>
      <c r="K15" s="69">
        <f t="shared" si="11"/>
        <v>2250000</v>
      </c>
      <c r="L15" s="38">
        <f t="shared" si="12"/>
        <v>0</v>
      </c>
    </row>
    <row r="16" spans="1:13" ht="15" customHeight="1" x14ac:dyDescent="0.25">
      <c r="B16" s="39">
        <v>10</v>
      </c>
      <c r="C16" s="83" t="s">
        <v>44</v>
      </c>
      <c r="D16" s="64">
        <v>1250000</v>
      </c>
      <c r="E16" s="121">
        <v>43346</v>
      </c>
      <c r="F16" s="121">
        <f t="shared" si="0"/>
        <v>43376</v>
      </c>
      <c r="G16" s="96">
        <f t="shared" si="7"/>
        <v>83</v>
      </c>
      <c r="H16" s="68">
        <f t="shared" si="8"/>
        <v>0</v>
      </c>
      <c r="I16" s="69">
        <f t="shared" si="9"/>
        <v>0</v>
      </c>
      <c r="J16" s="68">
        <f t="shared" si="10"/>
        <v>0</v>
      </c>
      <c r="K16" s="69">
        <f t="shared" si="11"/>
        <v>1250000</v>
      </c>
      <c r="L16" s="38">
        <f t="shared" si="12"/>
        <v>0</v>
      </c>
    </row>
    <row r="17" spans="2:13" ht="15" customHeight="1" x14ac:dyDescent="0.25">
      <c r="B17" s="39">
        <v>11</v>
      </c>
      <c r="C17" s="83" t="s">
        <v>65</v>
      </c>
      <c r="D17" s="64">
        <v>4750000</v>
      </c>
      <c r="E17" s="121">
        <v>43336</v>
      </c>
      <c r="F17" s="121">
        <f t="shared" si="0"/>
        <v>43366</v>
      </c>
      <c r="G17" s="96">
        <f t="shared" si="1"/>
        <v>93</v>
      </c>
      <c r="H17" s="68">
        <f t="shared" si="2"/>
        <v>0</v>
      </c>
      <c r="I17" s="69">
        <f t="shared" si="3"/>
        <v>0</v>
      </c>
      <c r="J17" s="68">
        <f t="shared" si="4"/>
        <v>0</v>
      </c>
      <c r="K17" s="69">
        <f t="shared" si="5"/>
        <v>0</v>
      </c>
      <c r="L17" s="38">
        <f t="shared" si="6"/>
        <v>4750000</v>
      </c>
    </row>
    <row r="18" spans="2:13" ht="15" customHeight="1" x14ac:dyDescent="0.25">
      <c r="B18" s="39">
        <v>12</v>
      </c>
      <c r="C18" s="83" t="s">
        <v>66</v>
      </c>
      <c r="D18" s="64">
        <v>2500000</v>
      </c>
      <c r="E18" s="121">
        <v>43329</v>
      </c>
      <c r="F18" s="121">
        <f t="shared" si="0"/>
        <v>43359</v>
      </c>
      <c r="G18" s="96">
        <f t="shared" si="1"/>
        <v>100</v>
      </c>
      <c r="H18" s="68">
        <f t="shared" si="2"/>
        <v>0</v>
      </c>
      <c r="I18" s="69">
        <f t="shared" si="3"/>
        <v>0</v>
      </c>
      <c r="J18" s="68">
        <f t="shared" si="4"/>
        <v>0</v>
      </c>
      <c r="K18" s="69">
        <f t="shared" si="5"/>
        <v>0</v>
      </c>
      <c r="L18" s="38">
        <f t="shared" si="6"/>
        <v>2500000</v>
      </c>
    </row>
    <row r="19" spans="2:13" ht="15" customHeight="1" x14ac:dyDescent="0.25">
      <c r="B19" s="39">
        <v>13</v>
      </c>
      <c r="C19" s="83" t="s">
        <v>67</v>
      </c>
      <c r="D19" s="64">
        <v>1250000</v>
      </c>
      <c r="E19" s="121">
        <v>43324</v>
      </c>
      <c r="F19" s="121">
        <f t="shared" si="0"/>
        <v>43354</v>
      </c>
      <c r="G19" s="96">
        <f t="shared" si="1"/>
        <v>105</v>
      </c>
      <c r="H19" s="68">
        <f t="shared" si="2"/>
        <v>0</v>
      </c>
      <c r="I19" s="69">
        <f t="shared" si="3"/>
        <v>0</v>
      </c>
      <c r="J19" s="68">
        <f t="shared" si="4"/>
        <v>0</v>
      </c>
      <c r="K19" s="69">
        <f t="shared" si="5"/>
        <v>0</v>
      </c>
      <c r="L19" s="38">
        <f t="shared" si="6"/>
        <v>1250000</v>
      </c>
    </row>
    <row r="20" spans="2:13" ht="15" customHeight="1" x14ac:dyDescent="0.25">
      <c r="B20" s="39">
        <v>14</v>
      </c>
      <c r="C20" s="83" t="s">
        <v>68</v>
      </c>
      <c r="D20" s="64">
        <v>1500000</v>
      </c>
      <c r="E20" s="121">
        <v>43316</v>
      </c>
      <c r="F20" s="121">
        <f t="shared" si="0"/>
        <v>43346</v>
      </c>
      <c r="G20" s="96">
        <f t="shared" si="1"/>
        <v>113</v>
      </c>
      <c r="H20" s="68">
        <f t="shared" si="2"/>
        <v>0</v>
      </c>
      <c r="I20" s="69">
        <f t="shared" si="3"/>
        <v>0</v>
      </c>
      <c r="J20" s="68">
        <f t="shared" si="4"/>
        <v>0</v>
      </c>
      <c r="K20" s="69">
        <f t="shared" si="5"/>
        <v>0</v>
      </c>
      <c r="L20" s="38">
        <f t="shared" si="6"/>
        <v>1500000</v>
      </c>
    </row>
    <row r="21" spans="2:13" ht="15" customHeight="1" x14ac:dyDescent="0.25">
      <c r="B21" s="60">
        <v>15</v>
      </c>
      <c r="C21" s="84" t="s">
        <v>69</v>
      </c>
      <c r="D21" s="65">
        <v>750000</v>
      </c>
      <c r="E21" s="122">
        <v>43306</v>
      </c>
      <c r="F21" s="122">
        <f t="shared" si="0"/>
        <v>43336</v>
      </c>
      <c r="G21" s="97">
        <f t="shared" si="1"/>
        <v>123</v>
      </c>
      <c r="H21" s="70">
        <f t="shared" si="2"/>
        <v>0</v>
      </c>
      <c r="I21" s="71">
        <f t="shared" si="3"/>
        <v>0</v>
      </c>
      <c r="J21" s="70">
        <f t="shared" si="4"/>
        <v>0</v>
      </c>
      <c r="K21" s="71">
        <f t="shared" si="5"/>
        <v>0</v>
      </c>
      <c r="L21" s="62">
        <f t="shared" si="6"/>
        <v>750000</v>
      </c>
    </row>
    <row r="22" spans="2:13" ht="15" customHeight="1" x14ac:dyDescent="0.25">
      <c r="B22" s="42" t="s">
        <v>34</v>
      </c>
      <c r="C22" s="34"/>
      <c r="D22" s="34"/>
      <c r="E22" s="74">
        <f>SUM(D7:D21)</f>
        <v>54175000</v>
      </c>
      <c r="F22" s="145"/>
      <c r="G22" s="146"/>
      <c r="H22" s="72">
        <f>SUM(H7:H21)</f>
        <v>20600000</v>
      </c>
      <c r="I22" s="72">
        <f t="shared" ref="I22:L22" si="13">SUM(I7:I21)</f>
        <v>2575000</v>
      </c>
      <c r="J22" s="72">
        <f t="shared" si="13"/>
        <v>15000000</v>
      </c>
      <c r="K22" s="72">
        <f t="shared" si="13"/>
        <v>5250000</v>
      </c>
      <c r="L22" s="41">
        <f t="shared" si="13"/>
        <v>10750000</v>
      </c>
      <c r="M22" s="33"/>
    </row>
    <row r="23" spans="2:13" ht="15" customHeight="1" x14ac:dyDescent="0.25">
      <c r="B23" s="42" t="s">
        <v>32</v>
      </c>
      <c r="C23" s="34"/>
      <c r="D23" s="43"/>
      <c r="E23" s="75"/>
      <c r="F23" s="147"/>
      <c r="G23" s="148"/>
      <c r="H23" s="73">
        <v>0.01</v>
      </c>
      <c r="I23" s="73">
        <v>2.5000000000000001E-2</v>
      </c>
      <c r="J23" s="73">
        <v>0.05</v>
      </c>
      <c r="K23" s="73">
        <v>0.1</v>
      </c>
      <c r="L23" s="77">
        <v>0.15</v>
      </c>
      <c r="M23" s="33"/>
    </row>
    <row r="24" spans="2:13" ht="15" customHeight="1" x14ac:dyDescent="0.25">
      <c r="B24" s="42" t="s">
        <v>33</v>
      </c>
      <c r="C24" s="34"/>
      <c r="D24" s="43"/>
      <c r="E24" s="74">
        <f>SUM(H24:L24)</f>
        <v>3157875</v>
      </c>
      <c r="F24" s="149"/>
      <c r="G24" s="150"/>
      <c r="H24" s="72">
        <f>H22*H23</f>
        <v>206000</v>
      </c>
      <c r="I24" s="72">
        <f>I22*I23</f>
        <v>64375</v>
      </c>
      <c r="J24" s="72">
        <f>J22*J23</f>
        <v>750000</v>
      </c>
      <c r="K24" s="72">
        <f>K22*K23</f>
        <v>525000</v>
      </c>
      <c r="L24" s="41">
        <f>L22*L23</f>
        <v>1612500</v>
      </c>
      <c r="M24" s="33"/>
    </row>
    <row r="25" spans="2:13" ht="19.5" customHeight="1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2:13" ht="15" customHeight="1" x14ac:dyDescent="0.2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51" spans="1:3" ht="15" customHeight="1" x14ac:dyDescent="0.25">
      <c r="A51" s="30" t="s">
        <v>22</v>
      </c>
      <c r="C51" s="30" t="s">
        <v>22</v>
      </c>
    </row>
  </sheetData>
  <mergeCells count="6">
    <mergeCell ref="B5:B6"/>
    <mergeCell ref="D5:D6"/>
    <mergeCell ref="E5:E6"/>
    <mergeCell ref="I5:L5"/>
    <mergeCell ref="F5:F6"/>
    <mergeCell ref="G5:G6"/>
  </mergeCell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I6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Scroll Bar 1">
              <controlPr defaultSize="0" autoPict="0">
                <anchor moveWithCells="1">
                  <from>
                    <xdr:col>3</xdr:col>
                    <xdr:colOff>323850</xdr:colOff>
                    <xdr:row>3</xdr:row>
                    <xdr:rowOff>9525</xdr:rowOff>
                  </from>
                  <to>
                    <xdr:col>3</xdr:col>
                    <xdr:colOff>809625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Scroll Bar 2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19050</xdr:rowOff>
                  </from>
                  <to>
                    <xdr:col>3</xdr:col>
                    <xdr:colOff>809625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"/>
  <sheetViews>
    <sheetView showGridLines="0" workbookViewId="0">
      <selection activeCell="F21" sqref="F21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6" width="12.85546875" style="30" customWidth="1"/>
    <col min="7" max="7" width="8.7109375" style="30" customWidth="1"/>
    <col min="8" max="12" width="13.28515625" style="30" customWidth="1"/>
    <col min="13" max="13" width="5.85546875" style="30" customWidth="1"/>
    <col min="14" max="14" width="11.5703125" style="30" bestFit="1" customWidth="1"/>
    <col min="15" max="16384" width="9.140625" style="30"/>
  </cols>
  <sheetData>
    <row r="1" spans="1:13" ht="19.5" customHeight="1" x14ac:dyDescent="0.25">
      <c r="C1" s="29"/>
      <c r="D1" s="29"/>
    </row>
    <row r="2" spans="1:13" ht="18.75" customHeight="1" x14ac:dyDescent="0.25">
      <c r="B2" s="31" t="s">
        <v>17</v>
      </c>
      <c r="D2" s="29"/>
      <c r="E2" s="32"/>
      <c r="F2" s="32"/>
      <c r="G2" s="32"/>
      <c r="H2" s="124"/>
    </row>
    <row r="3" spans="1:13" ht="15" customHeight="1" x14ac:dyDescent="0.25">
      <c r="A3" s="153">
        <v>25</v>
      </c>
      <c r="B3" s="35" t="s">
        <v>23</v>
      </c>
      <c r="C3" s="36"/>
      <c r="D3" s="37"/>
      <c r="E3" s="98">
        <f>A3+43434</f>
        <v>43459</v>
      </c>
      <c r="F3" s="129"/>
      <c r="G3" s="85"/>
      <c r="H3" s="33"/>
      <c r="I3" s="33"/>
      <c r="J3" s="33"/>
      <c r="K3" s="33"/>
      <c r="L3" s="33"/>
    </row>
    <row r="4" spans="1:13" ht="15" customHeight="1" x14ac:dyDescent="0.25">
      <c r="B4" s="35" t="s">
        <v>24</v>
      </c>
      <c r="C4" s="36"/>
      <c r="D4" s="86"/>
      <c r="E4" s="123" t="s">
        <v>62</v>
      </c>
      <c r="F4" s="130"/>
      <c r="G4" s="88"/>
      <c r="I4" s="33"/>
      <c r="J4" s="33"/>
      <c r="K4" s="33"/>
      <c r="L4" s="33"/>
    </row>
    <row r="5" spans="1:13" ht="15" customHeight="1" x14ac:dyDescent="0.25">
      <c r="B5" s="164" t="s">
        <v>31</v>
      </c>
      <c r="C5" s="81" t="s">
        <v>25</v>
      </c>
      <c r="D5" s="166" t="s">
        <v>27</v>
      </c>
      <c r="E5" s="166" t="s">
        <v>28</v>
      </c>
      <c r="F5" s="166" t="s">
        <v>70</v>
      </c>
      <c r="G5" s="166" t="s">
        <v>51</v>
      </c>
      <c r="H5" s="89" t="s">
        <v>29</v>
      </c>
      <c r="I5" s="168" t="s">
        <v>30</v>
      </c>
      <c r="J5" s="169"/>
      <c r="K5" s="169"/>
      <c r="L5" s="169"/>
    </row>
    <row r="6" spans="1:13" ht="15" customHeight="1" x14ac:dyDescent="0.25">
      <c r="B6" s="165"/>
      <c r="C6" s="90" t="s">
        <v>26</v>
      </c>
      <c r="D6" s="167"/>
      <c r="E6" s="167"/>
      <c r="F6" s="167"/>
      <c r="G6" s="167"/>
      <c r="H6" s="91" t="s">
        <v>9</v>
      </c>
      <c r="I6" s="92" t="s">
        <v>18</v>
      </c>
      <c r="J6" s="93" t="s">
        <v>19</v>
      </c>
      <c r="K6" s="93" t="s">
        <v>20</v>
      </c>
      <c r="L6" s="94" t="s">
        <v>21</v>
      </c>
    </row>
    <row r="7" spans="1:13" ht="15" customHeight="1" x14ac:dyDescent="0.25">
      <c r="B7" s="57">
        <v>1</v>
      </c>
      <c r="C7" s="82" t="s">
        <v>35</v>
      </c>
      <c r="D7" s="63">
        <v>7500000</v>
      </c>
      <c r="E7" s="120">
        <v>43449</v>
      </c>
      <c r="F7" s="120">
        <f>EOMONTH(E7,0)</f>
        <v>43465</v>
      </c>
      <c r="G7" s="95">
        <f>IF(F7&gt;E$3,0,E$3-F7)</f>
        <v>0</v>
      </c>
      <c r="H7" s="66">
        <f>IF(G7&lt;1,D7,0)</f>
        <v>7500000</v>
      </c>
      <c r="I7" s="67">
        <f>IF(AND(G7&gt;0,G7&lt;31),D7,0)</f>
        <v>0</v>
      </c>
      <c r="J7" s="66">
        <f>IF(AND(G7&gt;30,G7&lt;61),D7,0)</f>
        <v>0</v>
      </c>
      <c r="K7" s="67">
        <f>IF(AND(G7&gt;60,G7&lt;91),D7,0)</f>
        <v>0</v>
      </c>
      <c r="L7" s="59">
        <f>IF(G7&gt;90,D7,0)</f>
        <v>0</v>
      </c>
    </row>
    <row r="8" spans="1:13" ht="15" customHeight="1" x14ac:dyDescent="0.25">
      <c r="B8" s="39">
        <v>2</v>
      </c>
      <c r="C8" s="83" t="s">
        <v>36</v>
      </c>
      <c r="D8" s="64">
        <v>9850000</v>
      </c>
      <c r="E8" s="121">
        <v>43441</v>
      </c>
      <c r="F8" s="121">
        <f t="shared" ref="F8:F21" si="0">EOMONTH(E8,0)</f>
        <v>43465</v>
      </c>
      <c r="G8" s="96">
        <f t="shared" ref="G8:G21" si="1">IF(F8&gt;E$3,0,E$3-F8)</f>
        <v>0</v>
      </c>
      <c r="H8" s="68">
        <f t="shared" ref="H8:H21" si="2">IF(G8&lt;1,D8,0)</f>
        <v>9850000</v>
      </c>
      <c r="I8" s="69">
        <f t="shared" ref="I8:I21" si="3">IF(AND(G8&gt;0,G8&lt;31),D8,0)</f>
        <v>0</v>
      </c>
      <c r="J8" s="68">
        <f t="shared" ref="J8:J21" si="4">IF(AND(G8&gt;30,G8&lt;61),D8,0)</f>
        <v>0</v>
      </c>
      <c r="K8" s="69">
        <f t="shared" ref="K8:K21" si="5">IF(AND(G8&gt;60,G8&lt;91),D8,0)</f>
        <v>0</v>
      </c>
      <c r="L8" s="38">
        <f t="shared" ref="L8:L21" si="6">IF(G8&gt;90,D8,0)</f>
        <v>0</v>
      </c>
    </row>
    <row r="9" spans="1:13" ht="15" customHeight="1" x14ac:dyDescent="0.25">
      <c r="B9" s="39">
        <v>3</v>
      </c>
      <c r="C9" s="83" t="s">
        <v>37</v>
      </c>
      <c r="D9" s="64">
        <v>3250000</v>
      </c>
      <c r="E9" s="121">
        <v>43431</v>
      </c>
      <c r="F9" s="121">
        <f t="shared" si="0"/>
        <v>43434</v>
      </c>
      <c r="G9" s="96">
        <f t="shared" si="1"/>
        <v>25</v>
      </c>
      <c r="H9" s="68">
        <f t="shared" si="2"/>
        <v>0</v>
      </c>
      <c r="I9" s="69">
        <f t="shared" si="3"/>
        <v>3250000</v>
      </c>
      <c r="J9" s="68">
        <f t="shared" si="4"/>
        <v>0</v>
      </c>
      <c r="K9" s="69">
        <f t="shared" si="5"/>
        <v>0</v>
      </c>
      <c r="L9" s="38">
        <f t="shared" si="6"/>
        <v>0</v>
      </c>
    </row>
    <row r="10" spans="1:13" ht="15" customHeight="1" x14ac:dyDescent="0.25">
      <c r="B10" s="39">
        <v>4</v>
      </c>
      <c r="C10" s="83" t="s">
        <v>38</v>
      </c>
      <c r="D10" s="64">
        <v>1575000</v>
      </c>
      <c r="E10" s="121">
        <v>43411</v>
      </c>
      <c r="F10" s="121">
        <f t="shared" si="0"/>
        <v>43434</v>
      </c>
      <c r="G10" s="96">
        <f t="shared" si="1"/>
        <v>25</v>
      </c>
      <c r="H10" s="68">
        <f t="shared" si="2"/>
        <v>0</v>
      </c>
      <c r="I10" s="69">
        <f t="shared" si="3"/>
        <v>1575000</v>
      </c>
      <c r="J10" s="68">
        <f t="shared" si="4"/>
        <v>0</v>
      </c>
      <c r="K10" s="69">
        <f t="shared" si="5"/>
        <v>0</v>
      </c>
      <c r="L10" s="38">
        <f t="shared" si="6"/>
        <v>0</v>
      </c>
      <c r="M10" s="30" t="s">
        <v>22</v>
      </c>
    </row>
    <row r="11" spans="1:13" ht="15" customHeight="1" x14ac:dyDescent="0.25">
      <c r="B11" s="39">
        <v>5</v>
      </c>
      <c r="C11" s="83" t="s">
        <v>39</v>
      </c>
      <c r="D11" s="64">
        <v>1000000</v>
      </c>
      <c r="E11" s="121">
        <v>43403</v>
      </c>
      <c r="F11" s="121">
        <f t="shared" si="0"/>
        <v>43404</v>
      </c>
      <c r="G11" s="96">
        <f t="shared" si="1"/>
        <v>55</v>
      </c>
      <c r="H11" s="68">
        <f t="shared" si="2"/>
        <v>0</v>
      </c>
      <c r="I11" s="69">
        <f t="shared" si="3"/>
        <v>0</v>
      </c>
      <c r="J11" s="68">
        <f t="shared" si="4"/>
        <v>1000000</v>
      </c>
      <c r="K11" s="69">
        <f t="shared" si="5"/>
        <v>0</v>
      </c>
      <c r="L11" s="38">
        <f t="shared" si="6"/>
        <v>0</v>
      </c>
    </row>
    <row r="12" spans="1:13" ht="15" customHeight="1" x14ac:dyDescent="0.25">
      <c r="B12" s="39">
        <v>6</v>
      </c>
      <c r="C12" s="83" t="s">
        <v>40</v>
      </c>
      <c r="D12" s="64">
        <v>12500000</v>
      </c>
      <c r="E12" s="121">
        <v>43388</v>
      </c>
      <c r="F12" s="121">
        <f t="shared" si="0"/>
        <v>43404</v>
      </c>
      <c r="G12" s="96">
        <f t="shared" ref="G12:G16" si="7">IF(F12&gt;E$3,0,E$3-F12)</f>
        <v>55</v>
      </c>
      <c r="H12" s="68">
        <f t="shared" ref="H12:H16" si="8">IF(G12&lt;1,D12,0)</f>
        <v>0</v>
      </c>
      <c r="I12" s="69">
        <f t="shared" ref="I12:I16" si="9">IF(AND(G12&gt;0,G12&lt;31),D12,0)</f>
        <v>0</v>
      </c>
      <c r="J12" s="68">
        <f t="shared" ref="J12:J16" si="10">IF(AND(G12&gt;30,G12&lt;61),D12,0)</f>
        <v>12500000</v>
      </c>
      <c r="K12" s="69">
        <f t="shared" ref="K12:K16" si="11">IF(AND(G12&gt;60,G12&lt;91),D12,0)</f>
        <v>0</v>
      </c>
      <c r="L12" s="38">
        <f t="shared" ref="L12:L16" si="12">IF(G12&gt;90,D12,0)</f>
        <v>0</v>
      </c>
    </row>
    <row r="13" spans="1:13" ht="15" customHeight="1" x14ac:dyDescent="0.25">
      <c r="B13" s="39">
        <v>7</v>
      </c>
      <c r="C13" s="83" t="s">
        <v>41</v>
      </c>
      <c r="D13" s="64">
        <v>2500000</v>
      </c>
      <c r="E13" s="121">
        <v>43385</v>
      </c>
      <c r="F13" s="121">
        <f t="shared" si="0"/>
        <v>43404</v>
      </c>
      <c r="G13" s="96">
        <f t="shared" si="7"/>
        <v>55</v>
      </c>
      <c r="H13" s="68">
        <f t="shared" si="8"/>
        <v>0</v>
      </c>
      <c r="I13" s="69">
        <f t="shared" si="9"/>
        <v>0</v>
      </c>
      <c r="J13" s="68">
        <f t="shared" si="10"/>
        <v>2500000</v>
      </c>
      <c r="K13" s="69">
        <f t="shared" si="11"/>
        <v>0</v>
      </c>
      <c r="L13" s="38">
        <f t="shared" si="12"/>
        <v>0</v>
      </c>
    </row>
    <row r="14" spans="1:13" ht="15" customHeight="1" x14ac:dyDescent="0.25">
      <c r="B14" s="39">
        <v>8</v>
      </c>
      <c r="C14" s="83" t="s">
        <v>42</v>
      </c>
      <c r="D14" s="64">
        <v>1750000</v>
      </c>
      <c r="E14" s="121">
        <v>43366</v>
      </c>
      <c r="F14" s="121">
        <f t="shared" si="0"/>
        <v>43373</v>
      </c>
      <c r="G14" s="96">
        <f t="shared" si="7"/>
        <v>86</v>
      </c>
      <c r="H14" s="68">
        <f t="shared" si="8"/>
        <v>0</v>
      </c>
      <c r="I14" s="69">
        <f t="shared" si="9"/>
        <v>0</v>
      </c>
      <c r="J14" s="68">
        <f t="shared" si="10"/>
        <v>0</v>
      </c>
      <c r="K14" s="69">
        <f t="shared" si="11"/>
        <v>1750000</v>
      </c>
      <c r="L14" s="38">
        <f t="shared" si="12"/>
        <v>0</v>
      </c>
    </row>
    <row r="15" spans="1:13" ht="15" customHeight="1" x14ac:dyDescent="0.25">
      <c r="B15" s="39">
        <v>9</v>
      </c>
      <c r="C15" s="83" t="s">
        <v>43</v>
      </c>
      <c r="D15" s="64">
        <v>2250000</v>
      </c>
      <c r="E15" s="121">
        <v>43357</v>
      </c>
      <c r="F15" s="121">
        <f t="shared" si="0"/>
        <v>43373</v>
      </c>
      <c r="G15" s="96">
        <f t="shared" si="7"/>
        <v>86</v>
      </c>
      <c r="H15" s="68">
        <f t="shared" si="8"/>
        <v>0</v>
      </c>
      <c r="I15" s="69">
        <f t="shared" si="9"/>
        <v>0</v>
      </c>
      <c r="J15" s="68">
        <f t="shared" si="10"/>
        <v>0</v>
      </c>
      <c r="K15" s="69">
        <f t="shared" si="11"/>
        <v>2250000</v>
      </c>
      <c r="L15" s="38">
        <f t="shared" si="12"/>
        <v>0</v>
      </c>
    </row>
    <row r="16" spans="1:13" ht="15" customHeight="1" x14ac:dyDescent="0.25">
      <c r="B16" s="39">
        <v>10</v>
      </c>
      <c r="C16" s="83" t="s">
        <v>44</v>
      </c>
      <c r="D16" s="64">
        <v>1250000</v>
      </c>
      <c r="E16" s="121">
        <v>43346</v>
      </c>
      <c r="F16" s="121">
        <f t="shared" si="0"/>
        <v>43373</v>
      </c>
      <c r="G16" s="96">
        <f t="shared" si="7"/>
        <v>86</v>
      </c>
      <c r="H16" s="68">
        <f t="shared" si="8"/>
        <v>0</v>
      </c>
      <c r="I16" s="69">
        <f t="shared" si="9"/>
        <v>0</v>
      </c>
      <c r="J16" s="68">
        <f t="shared" si="10"/>
        <v>0</v>
      </c>
      <c r="K16" s="69">
        <f t="shared" si="11"/>
        <v>1250000</v>
      </c>
      <c r="L16" s="38">
        <f t="shared" si="12"/>
        <v>0</v>
      </c>
    </row>
    <row r="17" spans="2:14" ht="15" customHeight="1" x14ac:dyDescent="0.25">
      <c r="B17" s="39">
        <v>11</v>
      </c>
      <c r="C17" s="83" t="s">
        <v>65</v>
      </c>
      <c r="D17" s="64">
        <v>4750000</v>
      </c>
      <c r="E17" s="121">
        <v>43336</v>
      </c>
      <c r="F17" s="121">
        <f t="shared" si="0"/>
        <v>43343</v>
      </c>
      <c r="G17" s="96">
        <f t="shared" si="1"/>
        <v>116</v>
      </c>
      <c r="H17" s="68">
        <f t="shared" si="2"/>
        <v>0</v>
      </c>
      <c r="I17" s="69">
        <f t="shared" si="3"/>
        <v>0</v>
      </c>
      <c r="J17" s="68">
        <f t="shared" si="4"/>
        <v>0</v>
      </c>
      <c r="K17" s="69">
        <f t="shared" si="5"/>
        <v>0</v>
      </c>
      <c r="L17" s="38">
        <f t="shared" si="6"/>
        <v>4750000</v>
      </c>
    </row>
    <row r="18" spans="2:14" ht="15" customHeight="1" x14ac:dyDescent="0.25">
      <c r="B18" s="39">
        <v>12</v>
      </c>
      <c r="C18" s="83" t="s">
        <v>66</v>
      </c>
      <c r="D18" s="64">
        <v>2500000</v>
      </c>
      <c r="E18" s="121">
        <v>43329</v>
      </c>
      <c r="F18" s="121">
        <f t="shared" si="0"/>
        <v>43343</v>
      </c>
      <c r="G18" s="96">
        <f t="shared" si="1"/>
        <v>116</v>
      </c>
      <c r="H18" s="68">
        <f t="shared" si="2"/>
        <v>0</v>
      </c>
      <c r="I18" s="69">
        <f t="shared" si="3"/>
        <v>0</v>
      </c>
      <c r="J18" s="68">
        <f t="shared" si="4"/>
        <v>0</v>
      </c>
      <c r="K18" s="69">
        <f t="shared" si="5"/>
        <v>0</v>
      </c>
      <c r="L18" s="38">
        <f t="shared" si="6"/>
        <v>2500000</v>
      </c>
    </row>
    <row r="19" spans="2:14" ht="15" customHeight="1" x14ac:dyDescent="0.25">
      <c r="B19" s="39">
        <v>13</v>
      </c>
      <c r="C19" s="83" t="s">
        <v>67</v>
      </c>
      <c r="D19" s="64">
        <v>1250000</v>
      </c>
      <c r="E19" s="121">
        <v>43324</v>
      </c>
      <c r="F19" s="121">
        <f t="shared" si="0"/>
        <v>43343</v>
      </c>
      <c r="G19" s="96">
        <f t="shared" si="1"/>
        <v>116</v>
      </c>
      <c r="H19" s="68">
        <f t="shared" si="2"/>
        <v>0</v>
      </c>
      <c r="I19" s="69">
        <f t="shared" si="3"/>
        <v>0</v>
      </c>
      <c r="J19" s="68">
        <f t="shared" si="4"/>
        <v>0</v>
      </c>
      <c r="K19" s="69">
        <f t="shared" si="5"/>
        <v>0</v>
      </c>
      <c r="L19" s="38">
        <f t="shared" si="6"/>
        <v>1250000</v>
      </c>
    </row>
    <row r="20" spans="2:14" ht="15" customHeight="1" x14ac:dyDescent="0.25">
      <c r="B20" s="39">
        <v>14</v>
      </c>
      <c r="C20" s="83" t="s">
        <v>68</v>
      </c>
      <c r="D20" s="64">
        <v>1500000</v>
      </c>
      <c r="E20" s="121">
        <v>43316</v>
      </c>
      <c r="F20" s="121">
        <f t="shared" si="0"/>
        <v>43343</v>
      </c>
      <c r="G20" s="96">
        <f t="shared" si="1"/>
        <v>116</v>
      </c>
      <c r="H20" s="68">
        <f t="shared" si="2"/>
        <v>0</v>
      </c>
      <c r="I20" s="69">
        <f t="shared" si="3"/>
        <v>0</v>
      </c>
      <c r="J20" s="68">
        <f t="shared" si="4"/>
        <v>0</v>
      </c>
      <c r="K20" s="69">
        <f t="shared" si="5"/>
        <v>0</v>
      </c>
      <c r="L20" s="38">
        <f t="shared" si="6"/>
        <v>1500000</v>
      </c>
    </row>
    <row r="21" spans="2:14" ht="15" customHeight="1" x14ac:dyDescent="0.25">
      <c r="B21" s="60">
        <v>15</v>
      </c>
      <c r="C21" s="84" t="s">
        <v>69</v>
      </c>
      <c r="D21" s="65">
        <v>750000</v>
      </c>
      <c r="E21" s="122">
        <v>43306</v>
      </c>
      <c r="F21" s="122">
        <f t="shared" si="0"/>
        <v>43312</v>
      </c>
      <c r="G21" s="97">
        <f t="shared" si="1"/>
        <v>147</v>
      </c>
      <c r="H21" s="70">
        <f t="shared" si="2"/>
        <v>0</v>
      </c>
      <c r="I21" s="71">
        <f t="shared" si="3"/>
        <v>0</v>
      </c>
      <c r="J21" s="70">
        <f t="shared" si="4"/>
        <v>0</v>
      </c>
      <c r="K21" s="71">
        <f t="shared" si="5"/>
        <v>0</v>
      </c>
      <c r="L21" s="62">
        <f t="shared" si="6"/>
        <v>750000</v>
      </c>
    </row>
    <row r="22" spans="2:14" ht="15" customHeight="1" x14ac:dyDescent="0.25">
      <c r="B22" s="42" t="s">
        <v>34</v>
      </c>
      <c r="C22" s="34"/>
      <c r="D22" s="34"/>
      <c r="E22" s="74">
        <f>SUM(D7:D21)</f>
        <v>54175000</v>
      </c>
      <c r="F22" s="102"/>
      <c r="G22" s="103"/>
      <c r="H22" s="72">
        <f>SUM(H7:H21)</f>
        <v>17350000</v>
      </c>
      <c r="I22" s="72">
        <f>SUM(I7:I21)</f>
        <v>4825000</v>
      </c>
      <c r="J22" s="72">
        <f>SUM(J7:J21)</f>
        <v>16000000</v>
      </c>
      <c r="K22" s="72">
        <f>SUM(K7:K21)</f>
        <v>5250000</v>
      </c>
      <c r="L22" s="41">
        <f>SUM(L7:L21)</f>
        <v>10750000</v>
      </c>
      <c r="M22" s="33"/>
      <c r="N22" s="76"/>
    </row>
    <row r="23" spans="2:14" ht="15" customHeight="1" x14ac:dyDescent="0.25">
      <c r="B23" s="42" t="s">
        <v>52</v>
      </c>
      <c r="C23" s="34"/>
      <c r="D23" s="43"/>
      <c r="E23" s="75"/>
      <c r="F23" s="125"/>
      <c r="G23" s="126"/>
      <c r="H23" s="73">
        <v>0.01</v>
      </c>
      <c r="I23" s="73">
        <v>2.5000000000000001E-2</v>
      </c>
      <c r="J23" s="73">
        <v>0.05</v>
      </c>
      <c r="K23" s="73">
        <v>0.1</v>
      </c>
      <c r="L23" s="77">
        <v>0.15</v>
      </c>
      <c r="M23" s="33"/>
      <c r="N23" s="76"/>
    </row>
    <row r="24" spans="2:14" ht="15" customHeight="1" x14ac:dyDescent="0.25">
      <c r="B24" s="42" t="s">
        <v>33</v>
      </c>
      <c r="C24" s="34"/>
      <c r="D24" s="43"/>
      <c r="E24" s="74">
        <f>SUM(H24:L24)</f>
        <v>3231625</v>
      </c>
      <c r="F24" s="127"/>
      <c r="G24" s="128"/>
      <c r="H24" s="72">
        <f>H22*H23</f>
        <v>173500</v>
      </c>
      <c r="I24" s="72">
        <f>I22*I23</f>
        <v>120625</v>
      </c>
      <c r="J24" s="72">
        <f>J22*J23</f>
        <v>800000</v>
      </c>
      <c r="K24" s="72">
        <f>K22*K23</f>
        <v>525000</v>
      </c>
      <c r="L24" s="41">
        <f>L22*L23</f>
        <v>1612500</v>
      </c>
      <c r="M24" s="33"/>
    </row>
    <row r="25" spans="2:14" ht="19.5" customHeight="1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2:14" ht="15" customHeight="1" x14ac:dyDescent="0.2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51" spans="1:3" ht="15" customHeight="1" x14ac:dyDescent="0.25">
      <c r="A51" s="30" t="s">
        <v>22</v>
      </c>
      <c r="C51" s="30" t="s">
        <v>22</v>
      </c>
    </row>
  </sheetData>
  <mergeCells count="6">
    <mergeCell ref="B5:B6"/>
    <mergeCell ref="D5:D6"/>
    <mergeCell ref="E5:E6"/>
    <mergeCell ref="G5:G6"/>
    <mergeCell ref="I5:L5"/>
    <mergeCell ref="F5:F6"/>
  </mergeCell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I6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Scroll Bar 1">
              <controlPr defaultSize="0" autoPict="0">
                <anchor moveWithCells="1">
                  <from>
                    <xdr:col>3</xdr:col>
                    <xdr:colOff>314325</xdr:colOff>
                    <xdr:row>2</xdr:row>
                    <xdr:rowOff>28575</xdr:rowOff>
                  </from>
                  <to>
                    <xdr:col>3</xdr:col>
                    <xdr:colOff>800100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0"/>
  <sheetViews>
    <sheetView showGridLines="0" workbookViewId="0">
      <selection activeCell="F6" sqref="F6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5" width="12.85546875" style="30" customWidth="1"/>
    <col min="6" max="6" width="12.28515625" style="30" customWidth="1"/>
    <col min="7" max="7" width="12.85546875" style="30" customWidth="1"/>
    <col min="8" max="8" width="8.7109375" style="30" customWidth="1"/>
    <col min="9" max="13" width="13.28515625" style="30" customWidth="1"/>
    <col min="14" max="14" width="5.85546875" style="30" customWidth="1"/>
    <col min="15" max="15" width="11.5703125" style="30" bestFit="1" customWidth="1"/>
    <col min="16" max="16384" width="9.140625" style="30"/>
  </cols>
  <sheetData>
    <row r="1" spans="1:14" ht="19.5" customHeight="1" x14ac:dyDescent="0.25">
      <c r="C1" s="29"/>
      <c r="D1" s="29"/>
    </row>
    <row r="2" spans="1:14" ht="18.75" customHeight="1" x14ac:dyDescent="0.25">
      <c r="B2" s="31" t="s">
        <v>17</v>
      </c>
      <c r="D2" s="29"/>
      <c r="E2" s="32"/>
      <c r="F2" s="32"/>
      <c r="G2" s="32"/>
      <c r="H2" s="32"/>
      <c r="I2" s="124"/>
    </row>
    <row r="3" spans="1:14" ht="15" customHeight="1" x14ac:dyDescent="0.25">
      <c r="A3" s="153">
        <v>24</v>
      </c>
      <c r="B3" s="35" t="s">
        <v>23</v>
      </c>
      <c r="C3" s="36"/>
      <c r="D3" s="37"/>
      <c r="E3" s="98">
        <f>A3+43434</f>
        <v>43458</v>
      </c>
      <c r="F3" s="129"/>
      <c r="G3" s="129"/>
      <c r="H3" s="85"/>
      <c r="I3" s="33"/>
      <c r="J3" s="33"/>
      <c r="K3" s="33"/>
      <c r="L3" s="33"/>
      <c r="M3" s="33"/>
    </row>
    <row r="4" spans="1:14" ht="15" customHeight="1" x14ac:dyDescent="0.25">
      <c r="B4" s="164" t="s">
        <v>31</v>
      </c>
      <c r="C4" s="81" t="s">
        <v>25</v>
      </c>
      <c r="D4" s="166" t="s">
        <v>27</v>
      </c>
      <c r="E4" s="166" t="s">
        <v>28</v>
      </c>
      <c r="F4" s="166" t="s">
        <v>24</v>
      </c>
      <c r="G4" s="166" t="s">
        <v>70</v>
      </c>
      <c r="H4" s="166" t="s">
        <v>51</v>
      </c>
      <c r="I4" s="89" t="s">
        <v>29</v>
      </c>
      <c r="J4" s="168" t="s">
        <v>30</v>
      </c>
      <c r="K4" s="169"/>
      <c r="L4" s="169"/>
      <c r="M4" s="169"/>
    </row>
    <row r="5" spans="1:14" ht="15" customHeight="1" x14ac:dyDescent="0.25">
      <c r="B5" s="165"/>
      <c r="C5" s="90" t="s">
        <v>26</v>
      </c>
      <c r="D5" s="167"/>
      <c r="E5" s="167"/>
      <c r="F5" s="167"/>
      <c r="G5" s="167"/>
      <c r="H5" s="167"/>
      <c r="I5" s="91" t="s">
        <v>9</v>
      </c>
      <c r="J5" s="92" t="s">
        <v>18</v>
      </c>
      <c r="K5" s="93" t="s">
        <v>19</v>
      </c>
      <c r="L5" s="93" t="s">
        <v>20</v>
      </c>
      <c r="M5" s="94" t="s">
        <v>21</v>
      </c>
    </row>
    <row r="6" spans="1:14" ht="15" customHeight="1" x14ac:dyDescent="0.25">
      <c r="B6" s="57">
        <v>1</v>
      </c>
      <c r="C6" s="82" t="s">
        <v>35</v>
      </c>
      <c r="D6" s="63">
        <v>7500000</v>
      </c>
      <c r="E6" s="120">
        <v>43449</v>
      </c>
      <c r="F6" s="99" t="s">
        <v>64</v>
      </c>
      <c r="G6" s="120">
        <f>IF(F6="eom",EOMONTH(E6,0),E6+30)</f>
        <v>43479</v>
      </c>
      <c r="H6" s="95">
        <f>IF(G6&gt;E$3,0,E$3-G6)</f>
        <v>0</v>
      </c>
      <c r="I6" s="66">
        <f>IF(H6&lt;1,D6,0)</f>
        <v>7500000</v>
      </c>
      <c r="J6" s="67">
        <f>IF(AND(H6&gt;0,H6&lt;31),D6,0)</f>
        <v>0</v>
      </c>
      <c r="K6" s="66">
        <f>IF(AND(H6&gt;30,H6&lt;61),D6,0)</f>
        <v>0</v>
      </c>
      <c r="L6" s="67">
        <f>IF(AND(H6&gt;60,H6&lt;91),D6,0)</f>
        <v>0</v>
      </c>
      <c r="M6" s="59">
        <f>IF(H6&gt;90,D6,0)</f>
        <v>0</v>
      </c>
    </row>
    <row r="7" spans="1:14" ht="15" customHeight="1" x14ac:dyDescent="0.25">
      <c r="B7" s="39">
        <v>2</v>
      </c>
      <c r="C7" s="83" t="s">
        <v>36</v>
      </c>
      <c r="D7" s="64">
        <v>9850000</v>
      </c>
      <c r="E7" s="121">
        <v>43441</v>
      </c>
      <c r="F7" s="100" t="s">
        <v>62</v>
      </c>
      <c r="G7" s="121">
        <f t="shared" ref="G7:G20" si="0">IF(F7="eom",EOMONTH(E7,0),E7+30)</f>
        <v>43465</v>
      </c>
      <c r="H7" s="96">
        <f t="shared" ref="H7:H20" si="1">IF(G7&gt;E$3,0,E$3-G7)</f>
        <v>0</v>
      </c>
      <c r="I7" s="68">
        <f t="shared" ref="I7:I20" si="2">IF(H7&lt;1,D7,0)</f>
        <v>9850000</v>
      </c>
      <c r="J7" s="69">
        <f t="shared" ref="J7:J20" si="3">IF(AND(H7&gt;0,H7&lt;31),D7,0)</f>
        <v>0</v>
      </c>
      <c r="K7" s="68">
        <f t="shared" ref="K7:K20" si="4">IF(AND(H7&gt;30,H7&lt;61),D7,0)</f>
        <v>0</v>
      </c>
      <c r="L7" s="69">
        <f t="shared" ref="L7:L20" si="5">IF(AND(H7&gt;60,H7&lt;91),D7,0)</f>
        <v>0</v>
      </c>
      <c r="M7" s="38">
        <f t="shared" ref="M7:M20" si="6">IF(H7&gt;90,D7,0)</f>
        <v>0</v>
      </c>
    </row>
    <row r="8" spans="1:14" ht="15" customHeight="1" x14ac:dyDescent="0.25">
      <c r="B8" s="39">
        <v>3</v>
      </c>
      <c r="C8" s="83" t="s">
        <v>37</v>
      </c>
      <c r="D8" s="64">
        <v>3250000</v>
      </c>
      <c r="E8" s="121">
        <v>43431</v>
      </c>
      <c r="F8" s="100" t="s">
        <v>64</v>
      </c>
      <c r="G8" s="121">
        <f t="shared" si="0"/>
        <v>43461</v>
      </c>
      <c r="H8" s="96">
        <f t="shared" si="1"/>
        <v>0</v>
      </c>
      <c r="I8" s="68">
        <f t="shared" si="2"/>
        <v>3250000</v>
      </c>
      <c r="J8" s="69">
        <f t="shared" si="3"/>
        <v>0</v>
      </c>
      <c r="K8" s="68">
        <f t="shared" si="4"/>
        <v>0</v>
      </c>
      <c r="L8" s="69">
        <f t="shared" si="5"/>
        <v>0</v>
      </c>
      <c r="M8" s="38">
        <f t="shared" si="6"/>
        <v>0</v>
      </c>
    </row>
    <row r="9" spans="1:14" ht="15" customHeight="1" x14ac:dyDescent="0.25">
      <c r="B9" s="39">
        <v>4</v>
      </c>
      <c r="C9" s="83" t="s">
        <v>38</v>
      </c>
      <c r="D9" s="64">
        <v>1575000</v>
      </c>
      <c r="E9" s="121">
        <v>43411</v>
      </c>
      <c r="F9" s="100" t="s">
        <v>62</v>
      </c>
      <c r="G9" s="121">
        <f t="shared" si="0"/>
        <v>43434</v>
      </c>
      <c r="H9" s="96">
        <f t="shared" si="1"/>
        <v>24</v>
      </c>
      <c r="I9" s="68">
        <f t="shared" si="2"/>
        <v>0</v>
      </c>
      <c r="J9" s="69">
        <f t="shared" si="3"/>
        <v>1575000</v>
      </c>
      <c r="K9" s="68">
        <f t="shared" si="4"/>
        <v>0</v>
      </c>
      <c r="L9" s="69">
        <f t="shared" si="5"/>
        <v>0</v>
      </c>
      <c r="M9" s="38">
        <f t="shared" si="6"/>
        <v>0</v>
      </c>
      <c r="N9" s="30" t="s">
        <v>22</v>
      </c>
    </row>
    <row r="10" spans="1:14" ht="15" customHeight="1" x14ac:dyDescent="0.25">
      <c r="B10" s="39">
        <v>5</v>
      </c>
      <c r="C10" s="83" t="s">
        <v>39</v>
      </c>
      <c r="D10" s="64">
        <v>1000000</v>
      </c>
      <c r="E10" s="121">
        <v>43403</v>
      </c>
      <c r="F10" s="100" t="s">
        <v>64</v>
      </c>
      <c r="G10" s="121">
        <f t="shared" si="0"/>
        <v>43433</v>
      </c>
      <c r="H10" s="96">
        <f t="shared" si="1"/>
        <v>25</v>
      </c>
      <c r="I10" s="68">
        <f t="shared" si="2"/>
        <v>0</v>
      </c>
      <c r="J10" s="69">
        <f t="shared" si="3"/>
        <v>1000000</v>
      </c>
      <c r="K10" s="68">
        <f t="shared" si="4"/>
        <v>0</v>
      </c>
      <c r="L10" s="69">
        <f t="shared" si="5"/>
        <v>0</v>
      </c>
      <c r="M10" s="38">
        <f t="shared" si="6"/>
        <v>0</v>
      </c>
    </row>
    <row r="11" spans="1:14" ht="15" customHeight="1" x14ac:dyDescent="0.25">
      <c r="B11" s="39">
        <v>6</v>
      </c>
      <c r="C11" s="83" t="s">
        <v>40</v>
      </c>
      <c r="D11" s="64">
        <v>12500000</v>
      </c>
      <c r="E11" s="121">
        <v>43388</v>
      </c>
      <c r="F11" s="100" t="s">
        <v>64</v>
      </c>
      <c r="G11" s="121">
        <f t="shared" si="0"/>
        <v>43418</v>
      </c>
      <c r="H11" s="96">
        <f t="shared" si="1"/>
        <v>40</v>
      </c>
      <c r="I11" s="68">
        <f t="shared" si="2"/>
        <v>0</v>
      </c>
      <c r="J11" s="69">
        <f t="shared" si="3"/>
        <v>0</v>
      </c>
      <c r="K11" s="68">
        <f t="shared" si="4"/>
        <v>12500000</v>
      </c>
      <c r="L11" s="69">
        <f t="shared" si="5"/>
        <v>0</v>
      </c>
      <c r="M11" s="38">
        <f t="shared" si="6"/>
        <v>0</v>
      </c>
    </row>
    <row r="12" spans="1:14" ht="15" customHeight="1" x14ac:dyDescent="0.25">
      <c r="B12" s="39">
        <v>7</v>
      </c>
      <c r="C12" s="83" t="s">
        <v>41</v>
      </c>
      <c r="D12" s="64">
        <v>2500000</v>
      </c>
      <c r="E12" s="121">
        <v>43375</v>
      </c>
      <c r="F12" s="100" t="s">
        <v>62</v>
      </c>
      <c r="G12" s="121">
        <f t="shared" si="0"/>
        <v>43404</v>
      </c>
      <c r="H12" s="96">
        <f t="shared" si="1"/>
        <v>54</v>
      </c>
      <c r="I12" s="68">
        <f t="shared" si="2"/>
        <v>0</v>
      </c>
      <c r="J12" s="69">
        <f t="shared" si="3"/>
        <v>0</v>
      </c>
      <c r="K12" s="68">
        <f t="shared" si="4"/>
        <v>2500000</v>
      </c>
      <c r="L12" s="69">
        <f t="shared" si="5"/>
        <v>0</v>
      </c>
      <c r="M12" s="38">
        <f t="shared" si="6"/>
        <v>0</v>
      </c>
    </row>
    <row r="13" spans="1:14" ht="15" customHeight="1" x14ac:dyDescent="0.25">
      <c r="B13" s="39">
        <v>8</v>
      </c>
      <c r="C13" s="83" t="s">
        <v>42</v>
      </c>
      <c r="D13" s="64">
        <v>1750000</v>
      </c>
      <c r="E13" s="121">
        <v>43346</v>
      </c>
      <c r="F13" s="100" t="s">
        <v>64</v>
      </c>
      <c r="G13" s="121">
        <f t="shared" si="0"/>
        <v>43376</v>
      </c>
      <c r="H13" s="96">
        <f t="shared" ref="H13:H17" si="7">IF(G13&gt;E$3,0,E$3-G13)</f>
        <v>82</v>
      </c>
      <c r="I13" s="68">
        <f t="shared" ref="I13:I17" si="8">IF(H13&lt;1,D13,0)</f>
        <v>0</v>
      </c>
      <c r="J13" s="69">
        <f t="shared" ref="J13:J17" si="9">IF(AND(H13&gt;0,H13&lt;31),D13,0)</f>
        <v>0</v>
      </c>
      <c r="K13" s="68">
        <f t="shared" ref="K13:K17" si="10">IF(AND(H13&gt;30,H13&lt;61),D13,0)</f>
        <v>0</v>
      </c>
      <c r="L13" s="69">
        <f t="shared" ref="L13:L17" si="11">IF(AND(H13&gt;60,H13&lt;91),D13,0)</f>
        <v>1750000</v>
      </c>
      <c r="M13" s="38">
        <f t="shared" ref="M13:M17" si="12">IF(H13&gt;90,D13,0)</f>
        <v>0</v>
      </c>
    </row>
    <row r="14" spans="1:14" ht="15" customHeight="1" x14ac:dyDescent="0.25">
      <c r="B14" s="39">
        <v>9</v>
      </c>
      <c r="C14" s="83" t="s">
        <v>43</v>
      </c>
      <c r="D14" s="64">
        <v>2250000</v>
      </c>
      <c r="E14" s="121">
        <v>43357</v>
      </c>
      <c r="F14" s="100" t="s">
        <v>62</v>
      </c>
      <c r="G14" s="121">
        <f t="shared" si="0"/>
        <v>43373</v>
      </c>
      <c r="H14" s="96">
        <f t="shared" si="7"/>
        <v>85</v>
      </c>
      <c r="I14" s="68">
        <f t="shared" si="8"/>
        <v>0</v>
      </c>
      <c r="J14" s="69">
        <f t="shared" si="9"/>
        <v>0</v>
      </c>
      <c r="K14" s="68">
        <f t="shared" si="10"/>
        <v>0</v>
      </c>
      <c r="L14" s="69">
        <f t="shared" si="11"/>
        <v>2250000</v>
      </c>
      <c r="M14" s="38">
        <f t="shared" si="12"/>
        <v>0</v>
      </c>
    </row>
    <row r="15" spans="1:14" ht="15" customHeight="1" x14ac:dyDescent="0.25">
      <c r="B15" s="39">
        <v>10</v>
      </c>
      <c r="C15" s="83" t="s">
        <v>44</v>
      </c>
      <c r="D15" s="64">
        <v>1250000</v>
      </c>
      <c r="E15" s="121">
        <v>43366</v>
      </c>
      <c r="F15" s="100" t="s">
        <v>62</v>
      </c>
      <c r="G15" s="121">
        <f t="shared" si="0"/>
        <v>43373</v>
      </c>
      <c r="H15" s="96">
        <f t="shared" si="7"/>
        <v>85</v>
      </c>
      <c r="I15" s="68">
        <f t="shared" si="8"/>
        <v>0</v>
      </c>
      <c r="J15" s="69">
        <f t="shared" si="9"/>
        <v>0</v>
      </c>
      <c r="K15" s="68">
        <f t="shared" si="10"/>
        <v>0</v>
      </c>
      <c r="L15" s="69">
        <f t="shared" si="11"/>
        <v>1250000</v>
      </c>
      <c r="M15" s="38">
        <f t="shared" si="12"/>
        <v>0</v>
      </c>
    </row>
    <row r="16" spans="1:14" ht="15" customHeight="1" x14ac:dyDescent="0.25">
      <c r="B16" s="39">
        <v>11</v>
      </c>
      <c r="C16" s="83" t="s">
        <v>65</v>
      </c>
      <c r="D16" s="64">
        <v>4750000</v>
      </c>
      <c r="E16" s="121">
        <v>43336</v>
      </c>
      <c r="F16" s="100" t="s">
        <v>64</v>
      </c>
      <c r="G16" s="121">
        <f t="shared" si="0"/>
        <v>43366</v>
      </c>
      <c r="H16" s="96">
        <f t="shared" si="7"/>
        <v>92</v>
      </c>
      <c r="I16" s="68">
        <f t="shared" si="8"/>
        <v>0</v>
      </c>
      <c r="J16" s="69">
        <f t="shared" si="9"/>
        <v>0</v>
      </c>
      <c r="K16" s="68">
        <f t="shared" si="10"/>
        <v>0</v>
      </c>
      <c r="L16" s="69">
        <f t="shared" si="11"/>
        <v>0</v>
      </c>
      <c r="M16" s="38">
        <f t="shared" si="12"/>
        <v>4750000</v>
      </c>
    </row>
    <row r="17" spans="2:15" ht="15" customHeight="1" x14ac:dyDescent="0.25">
      <c r="B17" s="39">
        <v>12</v>
      </c>
      <c r="C17" s="83" t="s">
        <v>66</v>
      </c>
      <c r="D17" s="64">
        <v>2500000</v>
      </c>
      <c r="E17" s="121">
        <v>43329</v>
      </c>
      <c r="F17" s="100" t="s">
        <v>64</v>
      </c>
      <c r="G17" s="121">
        <f t="shared" si="0"/>
        <v>43359</v>
      </c>
      <c r="H17" s="96">
        <f t="shared" si="7"/>
        <v>99</v>
      </c>
      <c r="I17" s="68">
        <f t="shared" si="8"/>
        <v>0</v>
      </c>
      <c r="J17" s="69">
        <f t="shared" si="9"/>
        <v>0</v>
      </c>
      <c r="K17" s="68">
        <f t="shared" si="10"/>
        <v>0</v>
      </c>
      <c r="L17" s="69">
        <f t="shared" si="11"/>
        <v>0</v>
      </c>
      <c r="M17" s="38">
        <f t="shared" si="12"/>
        <v>2500000</v>
      </c>
    </row>
    <row r="18" spans="2:15" ht="15" customHeight="1" x14ac:dyDescent="0.25">
      <c r="B18" s="39">
        <v>13</v>
      </c>
      <c r="C18" s="83" t="s">
        <v>67</v>
      </c>
      <c r="D18" s="64">
        <v>1250000</v>
      </c>
      <c r="E18" s="121">
        <v>43324</v>
      </c>
      <c r="F18" s="100" t="s">
        <v>62</v>
      </c>
      <c r="G18" s="121">
        <f t="shared" si="0"/>
        <v>43343</v>
      </c>
      <c r="H18" s="96">
        <f t="shared" si="1"/>
        <v>115</v>
      </c>
      <c r="I18" s="68">
        <f t="shared" si="2"/>
        <v>0</v>
      </c>
      <c r="J18" s="69">
        <f t="shared" si="3"/>
        <v>0</v>
      </c>
      <c r="K18" s="68">
        <f t="shared" si="4"/>
        <v>0</v>
      </c>
      <c r="L18" s="69">
        <f t="shared" si="5"/>
        <v>0</v>
      </c>
      <c r="M18" s="38">
        <f t="shared" si="6"/>
        <v>1250000</v>
      </c>
    </row>
    <row r="19" spans="2:15" ht="15" customHeight="1" x14ac:dyDescent="0.25">
      <c r="B19" s="39">
        <v>14</v>
      </c>
      <c r="C19" s="83" t="s">
        <v>68</v>
      </c>
      <c r="D19" s="64">
        <v>1500000</v>
      </c>
      <c r="E19" s="121">
        <v>43316</v>
      </c>
      <c r="F19" s="100" t="s">
        <v>64</v>
      </c>
      <c r="G19" s="121">
        <f t="shared" si="0"/>
        <v>43346</v>
      </c>
      <c r="H19" s="96">
        <f t="shared" si="1"/>
        <v>112</v>
      </c>
      <c r="I19" s="68">
        <f t="shared" si="2"/>
        <v>0</v>
      </c>
      <c r="J19" s="69">
        <f t="shared" si="3"/>
        <v>0</v>
      </c>
      <c r="K19" s="68">
        <f t="shared" si="4"/>
        <v>0</v>
      </c>
      <c r="L19" s="69">
        <f t="shared" si="5"/>
        <v>0</v>
      </c>
      <c r="M19" s="38">
        <f t="shared" si="6"/>
        <v>1500000</v>
      </c>
    </row>
    <row r="20" spans="2:15" ht="15" customHeight="1" x14ac:dyDescent="0.25">
      <c r="B20" s="60">
        <v>15</v>
      </c>
      <c r="C20" s="84" t="s">
        <v>69</v>
      </c>
      <c r="D20" s="65">
        <v>750000</v>
      </c>
      <c r="E20" s="122">
        <v>43306</v>
      </c>
      <c r="F20" s="101" t="s">
        <v>64</v>
      </c>
      <c r="G20" s="122">
        <f t="shared" si="0"/>
        <v>43336</v>
      </c>
      <c r="H20" s="97">
        <f t="shared" si="1"/>
        <v>122</v>
      </c>
      <c r="I20" s="70">
        <f t="shared" si="2"/>
        <v>0</v>
      </c>
      <c r="J20" s="71">
        <f t="shared" si="3"/>
        <v>0</v>
      </c>
      <c r="K20" s="70">
        <f t="shared" si="4"/>
        <v>0</v>
      </c>
      <c r="L20" s="71">
        <f t="shared" si="5"/>
        <v>0</v>
      </c>
      <c r="M20" s="62">
        <f t="shared" si="6"/>
        <v>750000</v>
      </c>
    </row>
    <row r="21" spans="2:15" ht="15" customHeight="1" x14ac:dyDescent="0.25">
      <c r="B21" s="42" t="s">
        <v>34</v>
      </c>
      <c r="C21" s="34"/>
      <c r="D21" s="34"/>
      <c r="E21" s="74">
        <f>SUM(D6:D20)</f>
        <v>54175000</v>
      </c>
      <c r="F21" s="134"/>
      <c r="G21" s="135"/>
      <c r="H21" s="136"/>
      <c r="I21" s="72">
        <f>SUM(I6:I20)</f>
        <v>20600000</v>
      </c>
      <c r="J21" s="72">
        <f>SUM(J6:J20)</f>
        <v>2575000</v>
      </c>
      <c r="K21" s="72">
        <f>SUM(K6:K20)</f>
        <v>15000000</v>
      </c>
      <c r="L21" s="72">
        <f>SUM(L6:L20)</f>
        <v>5250000</v>
      </c>
      <c r="M21" s="41">
        <f>SUM(M6:M20)</f>
        <v>10750000</v>
      </c>
      <c r="N21" s="33"/>
      <c r="O21" s="76"/>
    </row>
    <row r="22" spans="2:15" ht="15" customHeight="1" x14ac:dyDescent="0.25">
      <c r="B22" s="42" t="s">
        <v>52</v>
      </c>
      <c r="C22" s="34"/>
      <c r="D22" s="43"/>
      <c r="E22" s="75"/>
      <c r="F22" s="137"/>
      <c r="G22" s="137"/>
      <c r="H22" s="138"/>
      <c r="I22" s="73">
        <v>0.01</v>
      </c>
      <c r="J22" s="73">
        <v>2.5000000000000001E-2</v>
      </c>
      <c r="K22" s="73">
        <v>0.05</v>
      </c>
      <c r="L22" s="73">
        <v>0.1</v>
      </c>
      <c r="M22" s="77">
        <v>0.15</v>
      </c>
      <c r="N22" s="33"/>
      <c r="O22" s="76"/>
    </row>
    <row r="23" spans="2:15" ht="15" customHeight="1" x14ac:dyDescent="0.25">
      <c r="B23" s="42" t="s">
        <v>33</v>
      </c>
      <c r="C23" s="34"/>
      <c r="D23" s="43"/>
      <c r="E23" s="74">
        <f>SUM(I23:M23)</f>
        <v>3157875</v>
      </c>
      <c r="F23" s="134"/>
      <c r="G23" s="134"/>
      <c r="H23" s="139"/>
      <c r="I23" s="72">
        <f>I21*I22</f>
        <v>206000</v>
      </c>
      <c r="J23" s="72">
        <f>J21*J22</f>
        <v>64375</v>
      </c>
      <c r="K23" s="72">
        <f>K21*K22</f>
        <v>750000</v>
      </c>
      <c r="L23" s="72">
        <f>L21*L22</f>
        <v>525000</v>
      </c>
      <c r="M23" s="41">
        <f>M21*M22</f>
        <v>1612500</v>
      </c>
      <c r="N23" s="33"/>
    </row>
    <row r="24" spans="2:15" ht="9.75" customHeight="1" x14ac:dyDescent="0.2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5" ht="15" customHeight="1" x14ac:dyDescent="0.25">
      <c r="B25" s="33"/>
      <c r="D25" s="132" t="s">
        <v>63</v>
      </c>
      <c r="E25" s="131" t="s">
        <v>62</v>
      </c>
      <c r="F25" s="33"/>
      <c r="G25" s="33"/>
      <c r="H25" s="33"/>
      <c r="I25" s="33"/>
      <c r="J25" s="33"/>
      <c r="K25" s="33"/>
      <c r="L25" s="33"/>
      <c r="M25" s="33"/>
    </row>
    <row r="26" spans="2:15" ht="15" customHeight="1" x14ac:dyDescent="0.25">
      <c r="E26" s="133" t="s">
        <v>64</v>
      </c>
    </row>
    <row r="27" spans="2:15" ht="19.5" customHeight="1" x14ac:dyDescent="0.25"/>
    <row r="50" spans="1:3" ht="15" customHeight="1" x14ac:dyDescent="0.25">
      <c r="A50" s="30" t="s">
        <v>22</v>
      </c>
      <c r="C50" s="30" t="s">
        <v>22</v>
      </c>
    </row>
  </sheetData>
  <mergeCells count="7">
    <mergeCell ref="B4:B5"/>
    <mergeCell ref="D4:D5"/>
    <mergeCell ref="E4:E5"/>
    <mergeCell ref="H4:H5"/>
    <mergeCell ref="J4:M4"/>
    <mergeCell ref="F4:F5"/>
    <mergeCell ref="G4:G5"/>
  </mergeCells>
  <dataValidations count="1">
    <dataValidation type="list" allowBlank="1" showInputMessage="1" showErrorMessage="1" sqref="F6:F20">
      <formula1>$E$25:$E$26</formula1>
    </dataValidation>
  </dataValidation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ignoredErrors>
    <ignoredError sqref="J5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Scroll Bar 1">
              <controlPr defaultSize="0" autoPict="0">
                <anchor moveWithCells="1">
                  <from>
                    <xdr:col>3</xdr:col>
                    <xdr:colOff>314325</xdr:colOff>
                    <xdr:row>2</xdr:row>
                    <xdr:rowOff>9525</xdr:rowOff>
                  </from>
                  <to>
                    <xdr:col>3</xdr:col>
                    <xdr:colOff>800100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showGridLines="0" zoomScale="95" zoomScaleNormal="95" workbookViewId="0">
      <selection activeCell="U60" sqref="U60"/>
    </sheetView>
  </sheetViews>
  <sheetFormatPr defaultColWidth="9.140625" defaultRowHeight="15" customHeight="1" x14ac:dyDescent="0.25"/>
  <cols>
    <col min="1" max="1" width="5.85546875" style="30" customWidth="1"/>
    <col min="2" max="2" width="5.7109375" style="30" customWidth="1"/>
    <col min="3" max="3" width="18.42578125" style="30" customWidth="1"/>
    <col min="4" max="4" width="13.5703125" style="30" customWidth="1"/>
    <col min="5" max="7" width="14.28515625" style="30" customWidth="1"/>
    <col min="8" max="8" width="7.7109375" style="30" customWidth="1"/>
    <col min="9" max="13" width="13.28515625" style="30" customWidth="1"/>
    <col min="14" max="15" width="5.85546875" style="30" customWidth="1"/>
    <col min="16" max="16384" width="9.140625" style="30"/>
  </cols>
  <sheetData>
    <row r="1" spans="1:14" ht="19.5" customHeight="1" x14ac:dyDescent="0.25">
      <c r="C1" s="29"/>
      <c r="D1" s="29"/>
    </row>
    <row r="2" spans="1:14" ht="18.75" customHeight="1" x14ac:dyDescent="0.25">
      <c r="B2" s="31" t="s">
        <v>17</v>
      </c>
      <c r="D2" s="29"/>
      <c r="E2" s="32"/>
      <c r="F2" s="32"/>
      <c r="G2" s="32"/>
      <c r="H2" s="32"/>
    </row>
    <row r="3" spans="1:14" ht="15" customHeight="1" x14ac:dyDescent="0.25">
      <c r="A3" s="30">
        <v>18</v>
      </c>
      <c r="B3" s="35" t="s">
        <v>23</v>
      </c>
      <c r="C3" s="36"/>
      <c r="D3" s="37"/>
      <c r="E3" s="98">
        <f>A3+43434</f>
        <v>43452</v>
      </c>
      <c r="F3" s="129"/>
      <c r="G3" s="129"/>
      <c r="H3" s="85"/>
      <c r="I3" s="33"/>
      <c r="J3" s="33"/>
      <c r="K3" s="33"/>
      <c r="L3" s="33"/>
      <c r="M3" s="33"/>
    </row>
    <row r="4" spans="1:14" ht="15" customHeight="1" x14ac:dyDescent="0.25">
      <c r="B4" s="164" t="s">
        <v>31</v>
      </c>
      <c r="C4" s="81" t="s">
        <v>25</v>
      </c>
      <c r="D4" s="166" t="s">
        <v>27</v>
      </c>
      <c r="E4" s="166" t="s">
        <v>28</v>
      </c>
      <c r="F4" s="166" t="s">
        <v>24</v>
      </c>
      <c r="G4" s="118" t="s">
        <v>9</v>
      </c>
      <c r="H4" s="166" t="s">
        <v>51</v>
      </c>
      <c r="I4" s="166" t="s">
        <v>60</v>
      </c>
      <c r="J4" s="168" t="s">
        <v>30</v>
      </c>
      <c r="K4" s="169"/>
      <c r="L4" s="169"/>
      <c r="M4" s="169"/>
    </row>
    <row r="5" spans="1:14" ht="15" customHeight="1" x14ac:dyDescent="0.25">
      <c r="B5" s="165"/>
      <c r="C5" s="90" t="s">
        <v>26</v>
      </c>
      <c r="D5" s="167"/>
      <c r="E5" s="167"/>
      <c r="F5" s="167"/>
      <c r="G5" s="119"/>
      <c r="H5" s="167"/>
      <c r="I5" s="167"/>
      <c r="J5" s="92" t="s">
        <v>18</v>
      </c>
      <c r="K5" s="93" t="s">
        <v>19</v>
      </c>
      <c r="L5" s="93" t="s">
        <v>20</v>
      </c>
      <c r="M5" s="94" t="s">
        <v>21</v>
      </c>
    </row>
    <row r="6" spans="1:14" x14ac:dyDescent="0.25">
      <c r="B6" s="57">
        <v>1</v>
      </c>
      <c r="C6" s="82" t="s">
        <v>35</v>
      </c>
      <c r="D6" s="63">
        <v>7500000</v>
      </c>
      <c r="E6" s="120">
        <v>43449</v>
      </c>
      <c r="F6" s="99" t="s">
        <v>64</v>
      </c>
      <c r="G6" s="120">
        <f>IF(F6="eom",EOMONTH(E6,0),E6+30)</f>
        <v>43479</v>
      </c>
      <c r="H6" s="95">
        <f>IF(G6&gt;E$3,0,E$3-G6)</f>
        <v>0</v>
      </c>
      <c r="I6" s="66">
        <f>IF(H6&lt;1,D6,0)</f>
        <v>7500000</v>
      </c>
      <c r="J6" s="67">
        <f>IF(AND(H6&gt;0,H6&lt;31),D6,0)</f>
        <v>0</v>
      </c>
      <c r="K6" s="66">
        <f>IF(AND(H6&gt;30,H6&lt;61),D6,0)</f>
        <v>0</v>
      </c>
      <c r="L6" s="67">
        <f>IF(AND(H6&gt;60,H6&lt;91),D6,0)</f>
        <v>0</v>
      </c>
      <c r="M6" s="59">
        <f>IF(H6&gt;90,D6,0)</f>
        <v>0</v>
      </c>
    </row>
    <row r="7" spans="1:14" x14ac:dyDescent="0.25">
      <c r="B7" s="39">
        <v>2</v>
      </c>
      <c r="C7" s="83" t="s">
        <v>36</v>
      </c>
      <c r="D7" s="64">
        <v>9850000</v>
      </c>
      <c r="E7" s="121">
        <v>43441</v>
      </c>
      <c r="F7" s="100" t="s">
        <v>62</v>
      </c>
      <c r="G7" s="121">
        <f t="shared" ref="G7:G20" si="0">IF(F7="eom",EOMONTH(E7,0),E7+30)</f>
        <v>43465</v>
      </c>
      <c r="H7" s="96">
        <f t="shared" ref="H7:H20" si="1">IF(G7&gt;E$3,0,E$3-G7)</f>
        <v>0</v>
      </c>
      <c r="I7" s="68">
        <f t="shared" ref="I7:I20" si="2">IF(H7&lt;1,D7,0)</f>
        <v>9850000</v>
      </c>
      <c r="J7" s="69">
        <f t="shared" ref="J7:J20" si="3">IF(AND(H7&gt;0,H7&lt;31),D7,0)</f>
        <v>0</v>
      </c>
      <c r="K7" s="68">
        <f t="shared" ref="K7:K20" si="4">IF(AND(H7&gt;30,H7&lt;61),D7,0)</f>
        <v>0</v>
      </c>
      <c r="L7" s="69">
        <f t="shared" ref="L7:L20" si="5">IF(AND(H7&gt;60,H7&lt;91),D7,0)</f>
        <v>0</v>
      </c>
      <c r="M7" s="38">
        <f t="shared" ref="M7:M20" si="6">IF(H7&gt;90,D7,0)</f>
        <v>0</v>
      </c>
    </row>
    <row r="8" spans="1:14" x14ac:dyDescent="0.25">
      <c r="B8" s="39">
        <v>3</v>
      </c>
      <c r="C8" s="83" t="s">
        <v>37</v>
      </c>
      <c r="D8" s="64">
        <v>3250000</v>
      </c>
      <c r="E8" s="121">
        <v>43431</v>
      </c>
      <c r="F8" s="100" t="s">
        <v>64</v>
      </c>
      <c r="G8" s="121">
        <f t="shared" si="0"/>
        <v>43461</v>
      </c>
      <c r="H8" s="96">
        <f t="shared" si="1"/>
        <v>0</v>
      </c>
      <c r="I8" s="68">
        <f t="shared" si="2"/>
        <v>3250000</v>
      </c>
      <c r="J8" s="69">
        <f t="shared" si="3"/>
        <v>0</v>
      </c>
      <c r="K8" s="68">
        <f t="shared" si="4"/>
        <v>0</v>
      </c>
      <c r="L8" s="69">
        <f t="shared" si="5"/>
        <v>0</v>
      </c>
      <c r="M8" s="38">
        <f t="shared" si="6"/>
        <v>0</v>
      </c>
    </row>
    <row r="9" spans="1:14" x14ac:dyDescent="0.25">
      <c r="B9" s="39">
        <v>4</v>
      </c>
      <c r="C9" s="83" t="s">
        <v>38</v>
      </c>
      <c r="D9" s="64">
        <v>1575000</v>
      </c>
      <c r="E9" s="121">
        <v>43411</v>
      </c>
      <c r="F9" s="100" t="s">
        <v>62</v>
      </c>
      <c r="G9" s="121">
        <f t="shared" si="0"/>
        <v>43434</v>
      </c>
      <c r="H9" s="96">
        <f t="shared" si="1"/>
        <v>18</v>
      </c>
      <c r="I9" s="68">
        <f t="shared" si="2"/>
        <v>0</v>
      </c>
      <c r="J9" s="69">
        <f t="shared" si="3"/>
        <v>1575000</v>
      </c>
      <c r="K9" s="68">
        <f t="shared" si="4"/>
        <v>0</v>
      </c>
      <c r="L9" s="69">
        <f t="shared" si="5"/>
        <v>0</v>
      </c>
      <c r="M9" s="38">
        <f t="shared" si="6"/>
        <v>0</v>
      </c>
      <c r="N9" s="30" t="s">
        <v>22</v>
      </c>
    </row>
    <row r="10" spans="1:14" x14ac:dyDescent="0.25">
      <c r="B10" s="39">
        <v>5</v>
      </c>
      <c r="C10" s="83" t="s">
        <v>39</v>
      </c>
      <c r="D10" s="64">
        <v>1000000</v>
      </c>
      <c r="E10" s="121">
        <v>43403</v>
      </c>
      <c r="F10" s="100" t="s">
        <v>64</v>
      </c>
      <c r="G10" s="121">
        <f t="shared" si="0"/>
        <v>43433</v>
      </c>
      <c r="H10" s="96">
        <f t="shared" ref="H10:H16" si="7">IF(G10&gt;E$3,0,E$3-G10)</f>
        <v>19</v>
      </c>
      <c r="I10" s="68">
        <f t="shared" ref="I10:I16" si="8">IF(H10&lt;1,D10,0)</f>
        <v>0</v>
      </c>
      <c r="J10" s="69">
        <f t="shared" ref="J10:J16" si="9">IF(AND(H10&gt;0,H10&lt;31),D10,0)</f>
        <v>1000000</v>
      </c>
      <c r="K10" s="68">
        <f t="shared" ref="K10:K16" si="10">IF(AND(H10&gt;30,H10&lt;61),D10,0)</f>
        <v>0</v>
      </c>
      <c r="L10" s="69">
        <f t="shared" ref="L10:L16" si="11">IF(AND(H10&gt;60,H10&lt;91),D10,0)</f>
        <v>0</v>
      </c>
      <c r="M10" s="38">
        <f t="shared" ref="M10:M16" si="12">IF(H10&gt;90,D10,0)</f>
        <v>0</v>
      </c>
    </row>
    <row r="11" spans="1:14" x14ac:dyDescent="0.25">
      <c r="B11" s="39">
        <v>6</v>
      </c>
      <c r="C11" s="83" t="s">
        <v>40</v>
      </c>
      <c r="D11" s="64">
        <v>12500000</v>
      </c>
      <c r="E11" s="121">
        <v>43388</v>
      </c>
      <c r="F11" s="100" t="s">
        <v>64</v>
      </c>
      <c r="G11" s="121">
        <f t="shared" si="0"/>
        <v>43418</v>
      </c>
      <c r="H11" s="96">
        <f t="shared" si="7"/>
        <v>34</v>
      </c>
      <c r="I11" s="68">
        <f t="shared" si="8"/>
        <v>0</v>
      </c>
      <c r="J11" s="69">
        <f t="shared" si="9"/>
        <v>0</v>
      </c>
      <c r="K11" s="68">
        <f t="shared" si="10"/>
        <v>12500000</v>
      </c>
      <c r="L11" s="69">
        <f t="shared" si="11"/>
        <v>0</v>
      </c>
      <c r="M11" s="38">
        <f t="shared" si="12"/>
        <v>0</v>
      </c>
    </row>
    <row r="12" spans="1:14" x14ac:dyDescent="0.25">
      <c r="B12" s="39">
        <v>7</v>
      </c>
      <c r="C12" s="83" t="s">
        <v>41</v>
      </c>
      <c r="D12" s="64">
        <v>2500000</v>
      </c>
      <c r="E12" s="121">
        <v>43375</v>
      </c>
      <c r="F12" s="100" t="s">
        <v>62</v>
      </c>
      <c r="G12" s="121">
        <f t="shared" si="0"/>
        <v>43404</v>
      </c>
      <c r="H12" s="96">
        <f t="shared" si="7"/>
        <v>48</v>
      </c>
      <c r="I12" s="68">
        <f t="shared" si="8"/>
        <v>0</v>
      </c>
      <c r="J12" s="69">
        <f t="shared" si="9"/>
        <v>0</v>
      </c>
      <c r="K12" s="68">
        <f t="shared" si="10"/>
        <v>2500000</v>
      </c>
      <c r="L12" s="69">
        <f t="shared" si="11"/>
        <v>0</v>
      </c>
      <c r="M12" s="38">
        <f t="shared" si="12"/>
        <v>0</v>
      </c>
    </row>
    <row r="13" spans="1:14" x14ac:dyDescent="0.25">
      <c r="B13" s="39">
        <v>8</v>
      </c>
      <c r="C13" s="83" t="s">
        <v>42</v>
      </c>
      <c r="D13" s="64">
        <v>1750000</v>
      </c>
      <c r="E13" s="121">
        <v>43346</v>
      </c>
      <c r="F13" s="100" t="s">
        <v>64</v>
      </c>
      <c r="G13" s="121">
        <f t="shared" si="0"/>
        <v>43376</v>
      </c>
      <c r="H13" s="96">
        <f t="shared" si="7"/>
        <v>76</v>
      </c>
      <c r="I13" s="68">
        <f t="shared" si="8"/>
        <v>0</v>
      </c>
      <c r="J13" s="69">
        <f t="shared" si="9"/>
        <v>0</v>
      </c>
      <c r="K13" s="68">
        <f t="shared" si="10"/>
        <v>0</v>
      </c>
      <c r="L13" s="69">
        <f t="shared" si="11"/>
        <v>1750000</v>
      </c>
      <c r="M13" s="38">
        <f t="shared" si="12"/>
        <v>0</v>
      </c>
    </row>
    <row r="14" spans="1:14" x14ac:dyDescent="0.25">
      <c r="B14" s="39">
        <v>9</v>
      </c>
      <c r="C14" s="83" t="s">
        <v>43</v>
      </c>
      <c r="D14" s="64">
        <v>2250000</v>
      </c>
      <c r="E14" s="121">
        <v>43357</v>
      </c>
      <c r="F14" s="100" t="s">
        <v>62</v>
      </c>
      <c r="G14" s="121">
        <f t="shared" si="0"/>
        <v>43373</v>
      </c>
      <c r="H14" s="96">
        <f t="shared" si="7"/>
        <v>79</v>
      </c>
      <c r="I14" s="68">
        <f t="shared" si="8"/>
        <v>0</v>
      </c>
      <c r="J14" s="69">
        <f t="shared" si="9"/>
        <v>0</v>
      </c>
      <c r="K14" s="68">
        <f t="shared" si="10"/>
        <v>0</v>
      </c>
      <c r="L14" s="69">
        <f t="shared" si="11"/>
        <v>2250000</v>
      </c>
      <c r="M14" s="38">
        <f t="shared" si="12"/>
        <v>0</v>
      </c>
    </row>
    <row r="15" spans="1:14" x14ac:dyDescent="0.25">
      <c r="B15" s="39">
        <v>10</v>
      </c>
      <c r="C15" s="83" t="s">
        <v>44</v>
      </c>
      <c r="D15" s="64">
        <v>1250000</v>
      </c>
      <c r="E15" s="121">
        <v>43366</v>
      </c>
      <c r="F15" s="100" t="s">
        <v>62</v>
      </c>
      <c r="G15" s="121">
        <f t="shared" si="0"/>
        <v>43373</v>
      </c>
      <c r="H15" s="96">
        <f t="shared" si="7"/>
        <v>79</v>
      </c>
      <c r="I15" s="68">
        <f t="shared" si="8"/>
        <v>0</v>
      </c>
      <c r="J15" s="69">
        <f t="shared" si="9"/>
        <v>0</v>
      </c>
      <c r="K15" s="68">
        <f t="shared" si="10"/>
        <v>0</v>
      </c>
      <c r="L15" s="69">
        <f t="shared" si="11"/>
        <v>1250000</v>
      </c>
      <c r="M15" s="38">
        <f t="shared" si="12"/>
        <v>0</v>
      </c>
    </row>
    <row r="16" spans="1:14" x14ac:dyDescent="0.25">
      <c r="B16" s="39">
        <v>11</v>
      </c>
      <c r="C16" s="83" t="s">
        <v>65</v>
      </c>
      <c r="D16" s="64">
        <v>4750000</v>
      </c>
      <c r="E16" s="121">
        <v>43336</v>
      </c>
      <c r="F16" s="100" t="s">
        <v>64</v>
      </c>
      <c r="G16" s="121">
        <f t="shared" si="0"/>
        <v>43366</v>
      </c>
      <c r="H16" s="96">
        <f t="shared" si="7"/>
        <v>86</v>
      </c>
      <c r="I16" s="68">
        <f t="shared" si="8"/>
        <v>0</v>
      </c>
      <c r="J16" s="69">
        <f t="shared" si="9"/>
        <v>0</v>
      </c>
      <c r="K16" s="68">
        <f t="shared" si="10"/>
        <v>0</v>
      </c>
      <c r="L16" s="69">
        <f t="shared" si="11"/>
        <v>4750000</v>
      </c>
      <c r="M16" s="38">
        <f t="shared" si="12"/>
        <v>0</v>
      </c>
    </row>
    <row r="17" spans="2:15" x14ac:dyDescent="0.25">
      <c r="B17" s="39">
        <v>12</v>
      </c>
      <c r="C17" s="83" t="s">
        <v>66</v>
      </c>
      <c r="D17" s="64">
        <v>2500000</v>
      </c>
      <c r="E17" s="121">
        <v>43329</v>
      </c>
      <c r="F17" s="100" t="s">
        <v>64</v>
      </c>
      <c r="G17" s="121">
        <f t="shared" si="0"/>
        <v>43359</v>
      </c>
      <c r="H17" s="96">
        <f t="shared" si="1"/>
        <v>93</v>
      </c>
      <c r="I17" s="68">
        <f t="shared" si="2"/>
        <v>0</v>
      </c>
      <c r="J17" s="69">
        <f t="shared" si="3"/>
        <v>0</v>
      </c>
      <c r="K17" s="68">
        <f t="shared" si="4"/>
        <v>0</v>
      </c>
      <c r="L17" s="69">
        <f t="shared" si="5"/>
        <v>0</v>
      </c>
      <c r="M17" s="38">
        <f t="shared" si="6"/>
        <v>2500000</v>
      </c>
    </row>
    <row r="18" spans="2:15" x14ac:dyDescent="0.25">
      <c r="B18" s="39">
        <v>13</v>
      </c>
      <c r="C18" s="83" t="s">
        <v>67</v>
      </c>
      <c r="D18" s="64">
        <v>1250000</v>
      </c>
      <c r="E18" s="121">
        <v>43324</v>
      </c>
      <c r="F18" s="100" t="s">
        <v>62</v>
      </c>
      <c r="G18" s="121">
        <f t="shared" si="0"/>
        <v>43343</v>
      </c>
      <c r="H18" s="96">
        <f t="shared" si="1"/>
        <v>109</v>
      </c>
      <c r="I18" s="68">
        <f t="shared" si="2"/>
        <v>0</v>
      </c>
      <c r="J18" s="69">
        <f t="shared" si="3"/>
        <v>0</v>
      </c>
      <c r="K18" s="68">
        <f t="shared" si="4"/>
        <v>0</v>
      </c>
      <c r="L18" s="69">
        <f t="shared" si="5"/>
        <v>0</v>
      </c>
      <c r="M18" s="38">
        <f t="shared" si="6"/>
        <v>1250000</v>
      </c>
    </row>
    <row r="19" spans="2:15" x14ac:dyDescent="0.25">
      <c r="B19" s="39">
        <v>14</v>
      </c>
      <c r="C19" s="83" t="s">
        <v>68</v>
      </c>
      <c r="D19" s="64">
        <v>1500000</v>
      </c>
      <c r="E19" s="121">
        <v>43316</v>
      </c>
      <c r="F19" s="100" t="s">
        <v>64</v>
      </c>
      <c r="G19" s="121">
        <f t="shared" si="0"/>
        <v>43346</v>
      </c>
      <c r="H19" s="96">
        <f t="shared" si="1"/>
        <v>106</v>
      </c>
      <c r="I19" s="68">
        <f t="shared" si="2"/>
        <v>0</v>
      </c>
      <c r="J19" s="69">
        <f t="shared" si="3"/>
        <v>0</v>
      </c>
      <c r="K19" s="68">
        <f t="shared" si="4"/>
        <v>0</v>
      </c>
      <c r="L19" s="69">
        <f t="shared" si="5"/>
        <v>0</v>
      </c>
      <c r="M19" s="38">
        <f t="shared" si="6"/>
        <v>1500000</v>
      </c>
    </row>
    <row r="20" spans="2:15" x14ac:dyDescent="0.25">
      <c r="B20" s="60">
        <v>15</v>
      </c>
      <c r="C20" s="84" t="s">
        <v>69</v>
      </c>
      <c r="D20" s="65">
        <v>750000</v>
      </c>
      <c r="E20" s="122">
        <v>43306</v>
      </c>
      <c r="F20" s="101" t="s">
        <v>64</v>
      </c>
      <c r="G20" s="122">
        <f t="shared" si="0"/>
        <v>43336</v>
      </c>
      <c r="H20" s="97">
        <f t="shared" si="1"/>
        <v>116</v>
      </c>
      <c r="I20" s="70">
        <f t="shared" si="2"/>
        <v>0</v>
      </c>
      <c r="J20" s="71">
        <f t="shared" si="3"/>
        <v>0</v>
      </c>
      <c r="K20" s="70">
        <f t="shared" si="4"/>
        <v>0</v>
      </c>
      <c r="L20" s="71">
        <f t="shared" si="5"/>
        <v>0</v>
      </c>
      <c r="M20" s="62">
        <f t="shared" si="6"/>
        <v>750000</v>
      </c>
    </row>
    <row r="21" spans="2:15" ht="15" customHeight="1" x14ac:dyDescent="0.25">
      <c r="B21" s="42" t="s">
        <v>34</v>
      </c>
      <c r="C21" s="34"/>
      <c r="D21" s="104">
        <f>SUM(D6:D20)</f>
        <v>54175000</v>
      </c>
      <c r="E21" s="102"/>
      <c r="F21" s="140"/>
      <c r="G21" s="140"/>
      <c r="H21" s="103"/>
      <c r="I21" s="72">
        <f>SUM(I6:I20)</f>
        <v>20600000</v>
      </c>
      <c r="J21" s="72">
        <f t="shared" ref="J21:M21" si="13">SUM(J6:J20)</f>
        <v>2575000</v>
      </c>
      <c r="K21" s="72">
        <f t="shared" si="13"/>
        <v>15000000</v>
      </c>
      <c r="L21" s="72">
        <f t="shared" si="13"/>
        <v>10000000</v>
      </c>
      <c r="M21" s="41">
        <f t="shared" si="13"/>
        <v>6000000</v>
      </c>
      <c r="N21" s="33"/>
      <c r="O21" s="76"/>
    </row>
    <row r="22" spans="2:15" ht="15" customHeight="1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2:15" ht="15" customHeight="1" x14ac:dyDescent="0.25">
      <c r="B23" s="33"/>
      <c r="C23" s="33"/>
      <c r="D23" s="33"/>
      <c r="E23" s="141" t="s">
        <v>63</v>
      </c>
      <c r="F23" s="33" t="s">
        <v>62</v>
      </c>
      <c r="G23" s="33"/>
      <c r="I23" s="33"/>
      <c r="J23" s="33"/>
      <c r="K23" s="33"/>
      <c r="L23" s="33"/>
      <c r="M23" s="33"/>
    </row>
    <row r="24" spans="2:15" ht="15" customHeight="1" x14ac:dyDescent="0.25">
      <c r="B24" s="33"/>
      <c r="C24" s="33"/>
      <c r="D24" s="33"/>
      <c r="E24" s="33"/>
      <c r="F24" s="33" t="s">
        <v>64</v>
      </c>
      <c r="G24" s="33"/>
      <c r="I24" s="33"/>
      <c r="J24" s="33"/>
      <c r="K24" s="33"/>
      <c r="L24" s="33"/>
      <c r="M24" s="33"/>
    </row>
    <row r="25" spans="2:15" ht="15" customHeight="1" x14ac:dyDescent="0.25">
      <c r="B25" s="33"/>
      <c r="C25" s="33"/>
      <c r="D25" s="33"/>
      <c r="E25" s="33"/>
      <c r="F25" s="33"/>
      <c r="G25" s="33"/>
      <c r="I25" s="33"/>
      <c r="J25" s="33"/>
      <c r="K25" s="33"/>
      <c r="L25" s="33"/>
      <c r="M25" s="33"/>
    </row>
    <row r="26" spans="2:15" ht="15" customHeight="1" x14ac:dyDescent="0.25">
      <c r="B26" s="116" t="s">
        <v>53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5" ht="15" customHeight="1" x14ac:dyDescent="0.25">
      <c r="B27" s="165" t="s">
        <v>1</v>
      </c>
      <c r="C27" s="171"/>
      <c r="D27" s="108" t="s">
        <v>58</v>
      </c>
      <c r="E27" s="108" t="s">
        <v>61</v>
      </c>
      <c r="F27" s="117" t="s">
        <v>59</v>
      </c>
      <c r="G27" s="142"/>
    </row>
    <row r="28" spans="2:15" ht="15" customHeight="1" x14ac:dyDescent="0.25">
      <c r="B28" s="78" t="s">
        <v>60</v>
      </c>
      <c r="C28" s="58"/>
      <c r="D28" s="109">
        <v>0.01</v>
      </c>
      <c r="E28" s="112">
        <f>I21</f>
        <v>20600000</v>
      </c>
      <c r="F28" s="105">
        <f>D28*E28</f>
        <v>206000</v>
      </c>
      <c r="G28" s="143"/>
    </row>
    <row r="29" spans="2:15" ht="15" customHeight="1" x14ac:dyDescent="0.25">
      <c r="B29" s="79" t="s">
        <v>54</v>
      </c>
      <c r="C29" s="40"/>
      <c r="D29" s="110">
        <v>2.5000000000000001E-2</v>
      </c>
      <c r="E29" s="113">
        <f>J21</f>
        <v>2575000</v>
      </c>
      <c r="F29" s="106">
        <f>D29*E29</f>
        <v>64375</v>
      </c>
      <c r="G29" s="143"/>
    </row>
    <row r="30" spans="2:15" ht="15" customHeight="1" x14ac:dyDescent="0.25">
      <c r="B30" s="79" t="s">
        <v>55</v>
      </c>
      <c r="C30" s="40"/>
      <c r="D30" s="110">
        <v>0.05</v>
      </c>
      <c r="E30" s="113">
        <f>K21</f>
        <v>15000000</v>
      </c>
      <c r="F30" s="106">
        <f>D30*E30</f>
        <v>750000</v>
      </c>
      <c r="G30" s="143"/>
    </row>
    <row r="31" spans="2:15" ht="15" customHeight="1" x14ac:dyDescent="0.25">
      <c r="B31" s="79" t="s">
        <v>56</v>
      </c>
      <c r="C31" s="40"/>
      <c r="D31" s="110">
        <v>0.1</v>
      </c>
      <c r="E31" s="113">
        <f>L21</f>
        <v>10000000</v>
      </c>
      <c r="F31" s="106">
        <f>D31*E31</f>
        <v>1000000</v>
      </c>
      <c r="G31" s="143"/>
    </row>
    <row r="32" spans="2:15" ht="15" customHeight="1" x14ac:dyDescent="0.25">
      <c r="B32" s="80" t="s">
        <v>57</v>
      </c>
      <c r="C32" s="61"/>
      <c r="D32" s="111">
        <v>0.15</v>
      </c>
      <c r="E32" s="114">
        <f>M21</f>
        <v>6000000</v>
      </c>
      <c r="F32" s="107">
        <f>D32*E32</f>
        <v>900000</v>
      </c>
      <c r="G32" s="143"/>
    </row>
    <row r="33" spans="2:7" ht="15" customHeight="1" x14ac:dyDescent="0.25">
      <c r="B33" s="170" t="s">
        <v>2</v>
      </c>
      <c r="C33" s="170"/>
      <c r="D33" s="170"/>
      <c r="E33" s="115">
        <f>SUM(E28:E32)</f>
        <v>54175000</v>
      </c>
      <c r="F33" s="104">
        <f>SUM(F28:F32)</f>
        <v>2920375</v>
      </c>
      <c r="G33" s="144"/>
    </row>
    <row r="42" spans="2:7" ht="19.5" customHeight="1" x14ac:dyDescent="0.25"/>
    <row r="50" spans="1:3" ht="15" customHeight="1" x14ac:dyDescent="0.25">
      <c r="A50" s="30" t="s">
        <v>22</v>
      </c>
      <c r="C50" s="30" t="s">
        <v>22</v>
      </c>
    </row>
    <row r="52" spans="1:3" ht="19.5" customHeight="1" x14ac:dyDescent="0.25"/>
  </sheetData>
  <mergeCells count="9">
    <mergeCell ref="H4:H5"/>
    <mergeCell ref="I4:I5"/>
    <mergeCell ref="J4:M4"/>
    <mergeCell ref="B33:D33"/>
    <mergeCell ref="F4:F5"/>
    <mergeCell ref="B27:C27"/>
    <mergeCell ref="B4:B5"/>
    <mergeCell ref="D4:D5"/>
    <mergeCell ref="E4:E5"/>
  </mergeCells>
  <dataValidations count="1">
    <dataValidation type="list" allowBlank="1" showInputMessage="1" showErrorMessage="1" sqref="F6:F20">
      <formula1>$E$25:$E$26</formula1>
    </dataValidation>
  </dataValidations>
  <printOptions gridLinesSet="0"/>
  <pageMargins left="0.75" right="0.75" top="1" bottom="1" header="0.5" footer="0.5"/>
  <pageSetup paperSize="20" orientation="portrait" horizontalDpi="300" verticalDpi="300" copies="0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Scroll Bar 2">
              <controlPr defaultSize="0" autoPict="0">
                <anchor moveWithCells="1">
                  <from>
                    <xdr:col>3</xdr:col>
                    <xdr:colOff>285750</xdr:colOff>
                    <xdr:row>2</xdr:row>
                    <xdr:rowOff>9525</xdr:rowOff>
                  </from>
                  <to>
                    <xdr:col>3</xdr:col>
                    <xdr:colOff>771525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KASUS1</vt:lpstr>
      <vt:lpstr>KASUS2</vt:lpstr>
      <vt:lpstr>KASUS3</vt:lpstr>
      <vt:lpstr>KASUS4</vt:lpstr>
      <vt:lpstr>KASUS5</vt:lpstr>
      <vt:lpstr>KASUS6</vt:lpstr>
      <vt:lpstr>KASUS7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2018-07-13T11:09:02Z</dcterms:created>
  <dcterms:modified xsi:type="dcterms:W3CDTF">2019-05-29T08:35:31Z</dcterms:modified>
</cp:coreProperties>
</file>